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illamilv\OneDrive - Florida Department of Health\Injury Page Update 2015-2018\5. Injury Emergency Dept. Visits to County Residents\"/>
    </mc:Choice>
  </mc:AlternateContent>
  <xr:revisionPtr revIDLastSave="6" documentId="13_ncr:1_{F6F5DB9E-371C-494F-B1C8-1D7093B23042}" xr6:coauthVersionLast="40" xr6:coauthVersionMax="40" xr10:uidLastSave="{9B3ED200-96DD-4E9C-8118-54BF7D055D11}"/>
  <bookViews>
    <workbookView xWindow="-120" yWindow="-120" windowWidth="29040" windowHeight="15840" tabRatio="599" activeTab="3" xr2:uid="{00000000-000D-0000-FFFF-FFFF00000000}"/>
  </bookViews>
  <sheets>
    <sheet name="2018" sheetId="32" r:id="rId1"/>
    <sheet name="2017" sheetId="31" r:id="rId2"/>
    <sheet name="2016" sheetId="30" r:id="rId3"/>
    <sheet name="2015" sheetId="29" r:id="rId4"/>
    <sheet name="2014" sheetId="27" r:id="rId5"/>
    <sheet name="2013" sheetId="26" r:id="rId6"/>
    <sheet name="2012" sheetId="25" r:id="rId7"/>
    <sheet name="2011" sheetId="24" r:id="rId8"/>
    <sheet name="2010" sheetId="23" r:id="rId9"/>
    <sheet name="2009" sheetId="22" r:id="rId10"/>
    <sheet name="2008" sheetId="21" r:id="rId11"/>
    <sheet name="2007" sheetId="20" r:id="rId12"/>
    <sheet name="2006" sheetId="19" r:id="rId13"/>
    <sheet name="2005" sheetId="18" r:id="rId14"/>
    <sheet name="ESRI_MAPINFO_SHEET" sheetId="28" state="veryHidden" r:id="rId15"/>
  </sheets>
  <definedNames>
    <definedName name="_xlnm.Print_Area" localSheetId="13">'2005'!$A$1:$I$86</definedName>
    <definedName name="_xlnm.Print_Area" localSheetId="12">'2006'!$A$1:$I$87</definedName>
    <definedName name="_xlnm.Print_Area" localSheetId="11">'2007'!$A$1:$I$87</definedName>
    <definedName name="_xlnm.Print_Area" localSheetId="10">'2008'!$A$1:$I$87</definedName>
    <definedName name="_xlnm.Print_Area" localSheetId="9">'2009'!$A$1:$I$87</definedName>
    <definedName name="_xlnm.Print_Area" localSheetId="8">'2010'!$A$1:$I$75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32" l="1"/>
  <c r="I52" i="31"/>
  <c r="I52" i="30"/>
  <c r="C65" i="29" l="1"/>
  <c r="B65" i="29"/>
  <c r="E64" i="29"/>
  <c r="D64" i="29"/>
  <c r="C64" i="29"/>
  <c r="B64" i="29"/>
  <c r="G63" i="29"/>
  <c r="F63" i="29"/>
  <c r="E63" i="29"/>
  <c r="D63" i="29"/>
  <c r="G62" i="29"/>
  <c r="F62" i="29"/>
  <c r="E62" i="29"/>
  <c r="D62" i="29"/>
  <c r="C62" i="29"/>
  <c r="B62" i="29"/>
  <c r="G60" i="29"/>
  <c r="F60" i="29"/>
  <c r="E60" i="29"/>
  <c r="D60" i="29"/>
  <c r="C60" i="29"/>
  <c r="B60" i="29"/>
  <c r="G59" i="29"/>
  <c r="F59" i="29"/>
  <c r="E59" i="29"/>
  <c r="D59" i="29"/>
  <c r="C59" i="29"/>
  <c r="B59" i="29"/>
  <c r="E58" i="29"/>
  <c r="D58" i="29"/>
  <c r="C58" i="29"/>
  <c r="B58" i="29"/>
  <c r="G56" i="29"/>
  <c r="F56" i="29"/>
  <c r="E56" i="29"/>
  <c r="D56" i="29"/>
  <c r="C56" i="29"/>
  <c r="B56" i="29"/>
  <c r="G55" i="29"/>
  <c r="F55" i="29"/>
  <c r="E55" i="29"/>
  <c r="D55" i="29"/>
  <c r="C55" i="29"/>
  <c r="B55" i="29"/>
  <c r="G54" i="29"/>
  <c r="F54" i="29"/>
  <c r="E54" i="29"/>
  <c r="D54" i="29"/>
  <c r="C54" i="29"/>
  <c r="B54" i="29"/>
  <c r="G53" i="29"/>
  <c r="F53" i="29"/>
  <c r="E53" i="29"/>
  <c r="D53" i="29"/>
  <c r="C53" i="29"/>
  <c r="B53" i="29"/>
  <c r="G52" i="29"/>
  <c r="F52" i="29"/>
  <c r="E52" i="29"/>
  <c r="D52" i="29"/>
  <c r="C52" i="29"/>
  <c r="B52" i="29"/>
  <c r="G48" i="29"/>
  <c r="F48" i="29"/>
  <c r="E48" i="29"/>
  <c r="D48" i="29"/>
  <c r="C48" i="29"/>
  <c r="B48" i="29"/>
  <c r="G47" i="29"/>
  <c r="F47" i="29"/>
  <c r="E47" i="29"/>
  <c r="D47" i="29"/>
  <c r="C47" i="29"/>
  <c r="B47" i="29"/>
  <c r="E46" i="29"/>
  <c r="B46" i="29"/>
  <c r="G45" i="29"/>
  <c r="F45" i="29"/>
  <c r="E45" i="29"/>
  <c r="D45" i="29"/>
  <c r="C45" i="29"/>
  <c r="B45" i="29"/>
  <c r="G41" i="29"/>
  <c r="F41" i="29"/>
  <c r="E41" i="29"/>
  <c r="D41" i="29"/>
  <c r="C41" i="29"/>
  <c r="B41" i="29"/>
  <c r="G40" i="29"/>
  <c r="F40" i="29"/>
  <c r="E40" i="29"/>
  <c r="D40" i="29"/>
  <c r="C40" i="29"/>
  <c r="B40" i="29"/>
  <c r="G39" i="29"/>
  <c r="F39" i="29"/>
  <c r="E39" i="29"/>
  <c r="D39" i="29"/>
  <c r="C39" i="29"/>
  <c r="B39" i="29"/>
  <c r="G38" i="29"/>
  <c r="F38" i="29"/>
  <c r="E38" i="29"/>
  <c r="D38" i="29"/>
  <c r="C38" i="29"/>
  <c r="B38" i="29"/>
  <c r="G37" i="29"/>
  <c r="F37" i="29"/>
  <c r="E37" i="29"/>
  <c r="D37" i="29"/>
  <c r="C37" i="29"/>
  <c r="B37" i="29"/>
  <c r="G36" i="29"/>
  <c r="F36" i="29"/>
  <c r="E36" i="29"/>
  <c r="D36" i="29"/>
  <c r="C36" i="29"/>
  <c r="B36" i="29"/>
  <c r="G35" i="29"/>
  <c r="F35" i="29"/>
  <c r="E35" i="29"/>
  <c r="D35" i="29"/>
  <c r="C35" i="29"/>
  <c r="B35" i="29"/>
  <c r="E34" i="29"/>
  <c r="D34" i="29"/>
  <c r="E32" i="29"/>
  <c r="D32" i="29"/>
  <c r="C32" i="29"/>
  <c r="B32" i="29"/>
  <c r="G30" i="29"/>
  <c r="F30" i="29"/>
  <c r="E30" i="29"/>
  <c r="D30" i="29"/>
  <c r="C30" i="29"/>
  <c r="B30" i="29"/>
  <c r="E29" i="29"/>
  <c r="D29" i="29"/>
  <c r="C29" i="29"/>
  <c r="B29" i="29"/>
  <c r="G25" i="29"/>
  <c r="F25" i="29"/>
  <c r="E25" i="29"/>
  <c r="D25" i="29"/>
  <c r="C25" i="29"/>
  <c r="B25" i="29"/>
  <c r="G24" i="29"/>
  <c r="F24" i="29"/>
  <c r="E24" i="29"/>
  <c r="D24" i="29"/>
  <c r="C24" i="29"/>
  <c r="B24" i="29"/>
  <c r="G20" i="29"/>
  <c r="F20" i="29"/>
  <c r="E20" i="29"/>
  <c r="D20" i="29"/>
  <c r="C20" i="29"/>
  <c r="B20" i="29"/>
  <c r="F19" i="29"/>
  <c r="E19" i="29"/>
  <c r="D19" i="29"/>
  <c r="C19" i="29"/>
  <c r="B19" i="29"/>
  <c r="G15" i="29"/>
  <c r="F15" i="29"/>
  <c r="E15" i="29"/>
  <c r="D15" i="29"/>
  <c r="C15" i="29"/>
  <c r="B15" i="29"/>
  <c r="G14" i="29"/>
  <c r="F14" i="29"/>
  <c r="E14" i="29"/>
  <c r="D14" i="29"/>
  <c r="C14" i="29"/>
  <c r="B14" i="29"/>
  <c r="C9" i="29"/>
  <c r="B9" i="29"/>
  <c r="E7" i="29"/>
  <c r="D7" i="29"/>
  <c r="C7" i="29"/>
  <c r="E6" i="29"/>
  <c r="G5" i="29"/>
  <c r="F5" i="29"/>
  <c r="E5" i="29"/>
  <c r="D5" i="29"/>
  <c r="C5" i="29"/>
  <c r="B5" i="29"/>
  <c r="G4" i="29"/>
  <c r="F4" i="29"/>
  <c r="E4" i="29"/>
  <c r="D4" i="29"/>
  <c r="C4" i="29"/>
  <c r="B4" i="29"/>
  <c r="B36" i="31" l="1"/>
  <c r="B35" i="31" s="1"/>
  <c r="C36" i="31"/>
  <c r="C35" i="31" s="1"/>
  <c r="D36" i="31"/>
  <c r="D35" i="31" s="1"/>
  <c r="E36" i="31"/>
  <c r="E35" i="31" s="1"/>
  <c r="F36" i="31"/>
  <c r="F35" i="31" s="1"/>
  <c r="G36" i="31"/>
  <c r="G35" i="31" s="1"/>
  <c r="H68" i="32" l="1"/>
  <c r="I68" i="32" s="1"/>
  <c r="H67" i="32"/>
  <c r="I67" i="32" s="1"/>
  <c r="H66" i="32"/>
  <c r="I66" i="32" s="1"/>
  <c r="H65" i="32"/>
  <c r="I65" i="32" s="1"/>
  <c r="G64" i="32"/>
  <c r="F64" i="32"/>
  <c r="E64" i="32"/>
  <c r="D64" i="32"/>
  <c r="C64" i="32"/>
  <c r="B64" i="32"/>
  <c r="H63" i="32"/>
  <c r="I63" i="32" s="1"/>
  <c r="H62" i="32"/>
  <c r="I62" i="32" s="1"/>
  <c r="H61" i="32"/>
  <c r="I61" i="32" s="1"/>
  <c r="H60" i="32"/>
  <c r="I60" i="32" s="1"/>
  <c r="G59" i="32"/>
  <c r="F59" i="32"/>
  <c r="E59" i="32"/>
  <c r="D59" i="32"/>
  <c r="C59" i="32"/>
  <c r="B59" i="32"/>
  <c r="H58" i="32"/>
  <c r="I58" i="32" s="1"/>
  <c r="H57" i="32"/>
  <c r="I57" i="32" s="1"/>
  <c r="H56" i="32"/>
  <c r="I56" i="32" s="1"/>
  <c r="H55" i="32"/>
  <c r="I55" i="32" s="1"/>
  <c r="G54" i="32"/>
  <c r="F54" i="32"/>
  <c r="E54" i="32"/>
  <c r="D54" i="32"/>
  <c r="C54" i="32"/>
  <c r="B54" i="32"/>
  <c r="H53" i="32"/>
  <c r="I53" i="32" s="1"/>
  <c r="H51" i="32"/>
  <c r="I51" i="32" s="1"/>
  <c r="H50" i="32"/>
  <c r="I50" i="32" s="1"/>
  <c r="H49" i="32"/>
  <c r="I49" i="32" s="1"/>
  <c r="H48" i="32"/>
  <c r="I48" i="32" s="1"/>
  <c r="G47" i="32"/>
  <c r="F47" i="32"/>
  <c r="E47" i="32"/>
  <c r="D47" i="32"/>
  <c r="C47" i="32"/>
  <c r="B47" i="32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G36" i="32"/>
  <c r="F36" i="32"/>
  <c r="F35" i="32" s="1"/>
  <c r="E36" i="32"/>
  <c r="D36" i="32"/>
  <c r="C36" i="32"/>
  <c r="B36" i="32"/>
  <c r="H34" i="32"/>
  <c r="I34" i="32" s="1"/>
  <c r="H33" i="32"/>
  <c r="I33" i="32" s="1"/>
  <c r="H32" i="32"/>
  <c r="I32" i="32" s="1"/>
  <c r="H31" i="32"/>
  <c r="I31" i="32" s="1"/>
  <c r="H30" i="32"/>
  <c r="I30" i="32" s="1"/>
  <c r="G29" i="32"/>
  <c r="F29" i="32"/>
  <c r="E29" i="32"/>
  <c r="D29" i="32"/>
  <c r="C29" i="32"/>
  <c r="B29" i="32"/>
  <c r="H28" i="32"/>
  <c r="I28" i="32" s="1"/>
  <c r="H27" i="32"/>
  <c r="I27" i="32" s="1"/>
  <c r="H26" i="32"/>
  <c r="I26" i="32" s="1"/>
  <c r="H25" i="32"/>
  <c r="I25" i="32" s="1"/>
  <c r="G24" i="32"/>
  <c r="F24" i="32"/>
  <c r="E24" i="32"/>
  <c r="D24" i="32"/>
  <c r="C24" i="32"/>
  <c r="B24" i="32"/>
  <c r="H23" i="32"/>
  <c r="I23" i="32" s="1"/>
  <c r="H22" i="32"/>
  <c r="I22" i="32" s="1"/>
  <c r="H21" i="32"/>
  <c r="I21" i="32" s="1"/>
  <c r="H20" i="32"/>
  <c r="I20" i="32" s="1"/>
  <c r="G19" i="32"/>
  <c r="F19" i="32"/>
  <c r="E19" i="32"/>
  <c r="D19" i="32"/>
  <c r="C19" i="32"/>
  <c r="B19" i="32"/>
  <c r="H18" i="32"/>
  <c r="I18" i="32" s="1"/>
  <c r="H17" i="32"/>
  <c r="I17" i="32" s="1"/>
  <c r="H16" i="32"/>
  <c r="I16" i="32" s="1"/>
  <c r="H15" i="32"/>
  <c r="I15" i="32" s="1"/>
  <c r="G14" i="32"/>
  <c r="F14" i="32"/>
  <c r="E14" i="32"/>
  <c r="D14" i="32"/>
  <c r="C14" i="32"/>
  <c r="B14" i="32"/>
  <c r="H13" i="32"/>
  <c r="I13" i="32" s="1"/>
  <c r="H12" i="32"/>
  <c r="I12" i="32" s="1"/>
  <c r="H11" i="32"/>
  <c r="I11" i="32" s="1"/>
  <c r="H10" i="32"/>
  <c r="I10" i="32" s="1"/>
  <c r="G9" i="32"/>
  <c r="F9" i="32"/>
  <c r="E9" i="32"/>
  <c r="D9" i="32"/>
  <c r="C9" i="32"/>
  <c r="B9" i="32"/>
  <c r="H8" i="32"/>
  <c r="I8" i="32" s="1"/>
  <c r="H7" i="32"/>
  <c r="I7" i="32" s="1"/>
  <c r="H6" i="32"/>
  <c r="I6" i="32" s="1"/>
  <c r="H5" i="32"/>
  <c r="I5" i="32" s="1"/>
  <c r="G4" i="32"/>
  <c r="F4" i="32"/>
  <c r="E4" i="32"/>
  <c r="D4" i="32"/>
  <c r="C4" i="32"/>
  <c r="B4" i="32"/>
  <c r="H68" i="31"/>
  <c r="I68" i="31" s="1"/>
  <c r="H67" i="31"/>
  <c r="I67" i="31" s="1"/>
  <c r="H66" i="31"/>
  <c r="I66" i="31" s="1"/>
  <c r="H65" i="31"/>
  <c r="I65" i="31" s="1"/>
  <c r="G64" i="31"/>
  <c r="F64" i="31"/>
  <c r="E64" i="31"/>
  <c r="D64" i="31"/>
  <c r="C64" i="31"/>
  <c r="B64" i="31"/>
  <c r="H64" i="31" s="1"/>
  <c r="I64" i="31" s="1"/>
  <c r="H63" i="31"/>
  <c r="I63" i="31" s="1"/>
  <c r="H62" i="31"/>
  <c r="I62" i="31" s="1"/>
  <c r="H61" i="31"/>
  <c r="I61" i="31" s="1"/>
  <c r="H60" i="31"/>
  <c r="I60" i="31" s="1"/>
  <c r="G59" i="31"/>
  <c r="F59" i="31"/>
  <c r="E59" i="31"/>
  <c r="D59" i="31"/>
  <c r="C59" i="31"/>
  <c r="B59" i="31"/>
  <c r="H58" i="31"/>
  <c r="I58" i="31" s="1"/>
  <c r="H57" i="31"/>
  <c r="I57" i="31" s="1"/>
  <c r="H56" i="31"/>
  <c r="I56" i="31" s="1"/>
  <c r="H55" i="31"/>
  <c r="I55" i="31" s="1"/>
  <c r="G54" i="31"/>
  <c r="F54" i="31"/>
  <c r="E54" i="31"/>
  <c r="D54" i="31"/>
  <c r="C54" i="31"/>
  <c r="B54" i="31"/>
  <c r="H53" i="31"/>
  <c r="I53" i="31" s="1"/>
  <c r="H51" i="31"/>
  <c r="I51" i="31" s="1"/>
  <c r="H50" i="31"/>
  <c r="I50" i="31" s="1"/>
  <c r="H49" i="31"/>
  <c r="I49" i="31" s="1"/>
  <c r="H48" i="31"/>
  <c r="I48" i="31" s="1"/>
  <c r="G47" i="31"/>
  <c r="F47" i="31"/>
  <c r="E47" i="31"/>
  <c r="D47" i="31"/>
  <c r="C47" i="31"/>
  <c r="B47" i="3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4" i="31"/>
  <c r="I34" i="31" s="1"/>
  <c r="H33" i="31"/>
  <c r="I33" i="31" s="1"/>
  <c r="H32" i="31"/>
  <c r="I32" i="31" s="1"/>
  <c r="H31" i="31"/>
  <c r="I31" i="31" s="1"/>
  <c r="H30" i="31"/>
  <c r="I30" i="31" s="1"/>
  <c r="G29" i="31"/>
  <c r="F29" i="31"/>
  <c r="E29" i="31"/>
  <c r="D29" i="31"/>
  <c r="C29" i="31"/>
  <c r="B29" i="31"/>
  <c r="H28" i="31"/>
  <c r="I28" i="31" s="1"/>
  <c r="H27" i="31"/>
  <c r="I27" i="31" s="1"/>
  <c r="H26" i="31"/>
  <c r="I26" i="31" s="1"/>
  <c r="H25" i="31"/>
  <c r="I25" i="31" s="1"/>
  <c r="G24" i="31"/>
  <c r="F24" i="31"/>
  <c r="E24" i="31"/>
  <c r="D24" i="31"/>
  <c r="C24" i="31"/>
  <c r="B24" i="31"/>
  <c r="H23" i="31"/>
  <c r="I23" i="31" s="1"/>
  <c r="H22" i="31"/>
  <c r="I22" i="31" s="1"/>
  <c r="H21" i="31"/>
  <c r="I21" i="31" s="1"/>
  <c r="H20" i="31"/>
  <c r="I20" i="31" s="1"/>
  <c r="G19" i="31"/>
  <c r="F19" i="31"/>
  <c r="E19" i="31"/>
  <c r="D19" i="31"/>
  <c r="C19" i="31"/>
  <c r="B19" i="31"/>
  <c r="H18" i="31"/>
  <c r="I18" i="31" s="1"/>
  <c r="H17" i="31"/>
  <c r="I17" i="31" s="1"/>
  <c r="H16" i="31"/>
  <c r="I16" i="31" s="1"/>
  <c r="H15" i="31"/>
  <c r="I15" i="31" s="1"/>
  <c r="G14" i="31"/>
  <c r="F14" i="31"/>
  <c r="E14" i="31"/>
  <c r="D14" i="31"/>
  <c r="C14" i="31"/>
  <c r="B14" i="31"/>
  <c r="H13" i="31"/>
  <c r="I13" i="31" s="1"/>
  <c r="H12" i="31"/>
  <c r="I12" i="31" s="1"/>
  <c r="H11" i="31"/>
  <c r="I11" i="31" s="1"/>
  <c r="H10" i="31"/>
  <c r="I10" i="31" s="1"/>
  <c r="G9" i="31"/>
  <c r="F9" i="31"/>
  <c r="E9" i="31"/>
  <c r="D9" i="31"/>
  <c r="C9" i="31"/>
  <c r="B9" i="31"/>
  <c r="H8" i="31"/>
  <c r="I8" i="31" s="1"/>
  <c r="H7" i="31"/>
  <c r="I7" i="31" s="1"/>
  <c r="H6" i="31"/>
  <c r="I6" i="31" s="1"/>
  <c r="H5" i="31"/>
  <c r="I5" i="31" s="1"/>
  <c r="G4" i="31"/>
  <c r="F4" i="31"/>
  <c r="E4" i="31"/>
  <c r="D4" i="31"/>
  <c r="C4" i="31"/>
  <c r="B4" i="31"/>
  <c r="H68" i="30"/>
  <c r="I68" i="30" s="1"/>
  <c r="H67" i="30"/>
  <c r="I67" i="30" s="1"/>
  <c r="H66" i="30"/>
  <c r="I66" i="30" s="1"/>
  <c r="H65" i="30"/>
  <c r="I65" i="30" s="1"/>
  <c r="G64" i="30"/>
  <c r="F64" i="30"/>
  <c r="E64" i="30"/>
  <c r="D64" i="30"/>
  <c r="C64" i="30"/>
  <c r="B64" i="30"/>
  <c r="H63" i="30"/>
  <c r="I63" i="30" s="1"/>
  <c r="H62" i="30"/>
  <c r="I62" i="30" s="1"/>
  <c r="H61" i="30"/>
  <c r="I61" i="30" s="1"/>
  <c r="H60" i="30"/>
  <c r="I60" i="30" s="1"/>
  <c r="G59" i="30"/>
  <c r="F59" i="30"/>
  <c r="E59" i="30"/>
  <c r="D59" i="30"/>
  <c r="C59" i="30"/>
  <c r="B59" i="30"/>
  <c r="H58" i="30"/>
  <c r="I58" i="30" s="1"/>
  <c r="H57" i="30"/>
  <c r="I57" i="30" s="1"/>
  <c r="H56" i="30"/>
  <c r="I56" i="30" s="1"/>
  <c r="H55" i="30"/>
  <c r="I55" i="30" s="1"/>
  <c r="G54" i="30"/>
  <c r="F54" i="30"/>
  <c r="E54" i="30"/>
  <c r="D54" i="30"/>
  <c r="C54" i="30"/>
  <c r="B54" i="30"/>
  <c r="H51" i="30"/>
  <c r="I51" i="30" s="1"/>
  <c r="H50" i="30"/>
  <c r="I50" i="30" s="1"/>
  <c r="H49" i="30"/>
  <c r="I49" i="30" s="1"/>
  <c r="H48" i="30"/>
  <c r="I48" i="30" s="1"/>
  <c r="G47" i="30"/>
  <c r="F47" i="30"/>
  <c r="E47" i="30"/>
  <c r="D47" i="30"/>
  <c r="C47" i="30"/>
  <c r="B47" i="30"/>
  <c r="H46" i="30"/>
  <c r="I46" i="30" s="1"/>
  <c r="H45" i="30"/>
  <c r="I45" i="30" s="1"/>
  <c r="H44" i="30"/>
  <c r="I44" i="30" s="1"/>
  <c r="H43" i="30"/>
  <c r="I43" i="30" s="1"/>
  <c r="H42" i="30"/>
  <c r="I42" i="30" s="1"/>
  <c r="H41" i="30"/>
  <c r="I41" i="30" s="1"/>
  <c r="H40" i="30"/>
  <c r="I40" i="30" s="1"/>
  <c r="H39" i="30"/>
  <c r="I39" i="30" s="1"/>
  <c r="H38" i="30"/>
  <c r="I38" i="30" s="1"/>
  <c r="H37" i="30"/>
  <c r="I37" i="30" s="1"/>
  <c r="G36" i="30"/>
  <c r="G35" i="30" s="1"/>
  <c r="F36" i="30"/>
  <c r="F35" i="30" s="1"/>
  <c r="E36" i="30"/>
  <c r="D36" i="30"/>
  <c r="C36" i="30"/>
  <c r="C35" i="30" s="1"/>
  <c r="B36" i="30"/>
  <c r="B35" i="30" s="1"/>
  <c r="E35" i="30"/>
  <c r="D35" i="30"/>
  <c r="H34" i="30"/>
  <c r="I34" i="30" s="1"/>
  <c r="H33" i="30"/>
  <c r="I33" i="30" s="1"/>
  <c r="H32" i="30"/>
  <c r="I32" i="30" s="1"/>
  <c r="H31" i="30"/>
  <c r="I31" i="30" s="1"/>
  <c r="H30" i="30"/>
  <c r="I30" i="30" s="1"/>
  <c r="G29" i="30"/>
  <c r="F29" i="30"/>
  <c r="E29" i="30"/>
  <c r="D29" i="30"/>
  <c r="C29" i="30"/>
  <c r="B29" i="30"/>
  <c r="H28" i="30"/>
  <c r="I28" i="30" s="1"/>
  <c r="H27" i="30"/>
  <c r="I27" i="30" s="1"/>
  <c r="H26" i="30"/>
  <c r="I26" i="30" s="1"/>
  <c r="H25" i="30"/>
  <c r="I25" i="30" s="1"/>
  <c r="G24" i="30"/>
  <c r="F24" i="30"/>
  <c r="E24" i="30"/>
  <c r="D24" i="30"/>
  <c r="C24" i="30"/>
  <c r="B24" i="30"/>
  <c r="H23" i="30"/>
  <c r="I23" i="30" s="1"/>
  <c r="H22" i="30"/>
  <c r="I22" i="30" s="1"/>
  <c r="H21" i="30"/>
  <c r="I21" i="30" s="1"/>
  <c r="H20" i="30"/>
  <c r="I20" i="30" s="1"/>
  <c r="G19" i="30"/>
  <c r="F19" i="30"/>
  <c r="E19" i="30"/>
  <c r="D19" i="30"/>
  <c r="C19" i="30"/>
  <c r="B19" i="30"/>
  <c r="H18" i="30"/>
  <c r="I18" i="30" s="1"/>
  <c r="H17" i="30"/>
  <c r="I17" i="30" s="1"/>
  <c r="H16" i="30"/>
  <c r="I16" i="30" s="1"/>
  <c r="H15" i="30"/>
  <c r="I15" i="30" s="1"/>
  <c r="G14" i="30"/>
  <c r="F14" i="30"/>
  <c r="E14" i="30"/>
  <c r="D14" i="30"/>
  <c r="C14" i="30"/>
  <c r="B14" i="30"/>
  <c r="H13" i="30"/>
  <c r="I13" i="30" s="1"/>
  <c r="H12" i="30"/>
  <c r="I12" i="30" s="1"/>
  <c r="H11" i="30"/>
  <c r="I11" i="30" s="1"/>
  <c r="H10" i="30"/>
  <c r="I10" i="30" s="1"/>
  <c r="G9" i="30"/>
  <c r="F9" i="30"/>
  <c r="E9" i="30"/>
  <c r="D9" i="30"/>
  <c r="C9" i="30"/>
  <c r="B9" i="30"/>
  <c r="H8" i="30"/>
  <c r="I8" i="30" s="1"/>
  <c r="H7" i="30"/>
  <c r="I7" i="30" s="1"/>
  <c r="H6" i="30"/>
  <c r="I6" i="30" s="1"/>
  <c r="H5" i="30"/>
  <c r="I5" i="30" s="1"/>
  <c r="G4" i="30"/>
  <c r="F4" i="30"/>
  <c r="E4" i="30"/>
  <c r="D4" i="30"/>
  <c r="C4" i="30"/>
  <c r="B4" i="30"/>
  <c r="H68" i="29"/>
  <c r="I68" i="29" s="1"/>
  <c r="H67" i="29"/>
  <c r="I67" i="29" s="1"/>
  <c r="H66" i="29"/>
  <c r="I66" i="29" s="1"/>
  <c r="H65" i="29"/>
  <c r="I65" i="29" s="1"/>
  <c r="H63" i="29"/>
  <c r="I63" i="29" s="1"/>
  <c r="H62" i="29"/>
  <c r="I62" i="29" s="1"/>
  <c r="H61" i="29"/>
  <c r="I61" i="29" s="1"/>
  <c r="H60" i="29"/>
  <c r="I60" i="29" s="1"/>
  <c r="H58" i="29"/>
  <c r="I58" i="29" s="1"/>
  <c r="H57" i="29"/>
  <c r="I57" i="29" s="1"/>
  <c r="H56" i="29"/>
  <c r="I56" i="29" s="1"/>
  <c r="H55" i="29"/>
  <c r="I55" i="29" s="1"/>
  <c r="H53" i="29"/>
  <c r="I53" i="29" s="1"/>
  <c r="H51" i="29"/>
  <c r="I51" i="29" s="1"/>
  <c r="H50" i="29"/>
  <c r="I50" i="29" s="1"/>
  <c r="H49" i="29"/>
  <c r="I49" i="29" s="1"/>
  <c r="H48" i="29"/>
  <c r="I48" i="29" s="1"/>
  <c r="H46" i="29"/>
  <c r="I46" i="29" s="1"/>
  <c r="H45" i="29"/>
  <c r="I45" i="29" s="1"/>
  <c r="H44" i="29"/>
  <c r="I44" i="29" s="1"/>
  <c r="H43" i="29"/>
  <c r="I43" i="29" s="1"/>
  <c r="H42" i="29"/>
  <c r="I42" i="29" s="1"/>
  <c r="H41" i="29"/>
  <c r="I41" i="29" s="1"/>
  <c r="H40" i="29"/>
  <c r="I40" i="29" s="1"/>
  <c r="H39" i="29"/>
  <c r="I39" i="29" s="1"/>
  <c r="H38" i="29"/>
  <c r="I38" i="29" s="1"/>
  <c r="H37" i="29"/>
  <c r="I37" i="29" s="1"/>
  <c r="H34" i="29"/>
  <c r="I34" i="29" s="1"/>
  <c r="H33" i="29"/>
  <c r="I33" i="29" s="1"/>
  <c r="H32" i="29"/>
  <c r="I32" i="29" s="1"/>
  <c r="H31" i="29"/>
  <c r="I31" i="29" s="1"/>
  <c r="H30" i="29"/>
  <c r="I30" i="29" s="1"/>
  <c r="H28" i="29"/>
  <c r="I28" i="29" s="1"/>
  <c r="H27" i="29"/>
  <c r="I27" i="29" s="1"/>
  <c r="H26" i="29"/>
  <c r="I26" i="29" s="1"/>
  <c r="H25" i="29"/>
  <c r="I25" i="29" s="1"/>
  <c r="H23" i="29"/>
  <c r="I23" i="29" s="1"/>
  <c r="H22" i="29"/>
  <c r="I22" i="29" s="1"/>
  <c r="H21" i="29"/>
  <c r="I21" i="29" s="1"/>
  <c r="H20" i="29"/>
  <c r="I20" i="29" s="1"/>
  <c r="H18" i="29"/>
  <c r="I18" i="29" s="1"/>
  <c r="H17" i="29"/>
  <c r="I17" i="29" s="1"/>
  <c r="H16" i="29"/>
  <c r="I16" i="29" s="1"/>
  <c r="H15" i="29"/>
  <c r="I15" i="29" s="1"/>
  <c r="H13" i="29"/>
  <c r="I13" i="29" s="1"/>
  <c r="H12" i="29"/>
  <c r="I12" i="29" s="1"/>
  <c r="H11" i="29"/>
  <c r="I11" i="29" s="1"/>
  <c r="H10" i="29"/>
  <c r="I10" i="29" s="1"/>
  <c r="H8" i="29"/>
  <c r="I8" i="29" s="1"/>
  <c r="H7" i="29"/>
  <c r="I7" i="29" s="1"/>
  <c r="H6" i="29"/>
  <c r="I6" i="29" s="1"/>
  <c r="H5" i="29"/>
  <c r="I5" i="29" s="1"/>
  <c r="D36" i="27"/>
  <c r="D35" i="27" s="1"/>
  <c r="H70" i="27"/>
  <c r="I70" i="27"/>
  <c r="H69" i="27"/>
  <c r="I69" i="27" s="1"/>
  <c r="H68" i="27"/>
  <c r="I68" i="27"/>
  <c r="H67" i="27"/>
  <c r="I67" i="27" s="1"/>
  <c r="G66" i="27"/>
  <c r="F66" i="27"/>
  <c r="E66" i="27"/>
  <c r="D66" i="27"/>
  <c r="C66" i="27"/>
  <c r="H66" i="27" s="1"/>
  <c r="I66" i="27" s="1"/>
  <c r="B66" i="27"/>
  <c r="H65" i="27"/>
  <c r="I65" i="27" s="1"/>
  <c r="H64" i="27"/>
  <c r="I64" i="27"/>
  <c r="H63" i="27"/>
  <c r="I63" i="27" s="1"/>
  <c r="H62" i="27"/>
  <c r="I62" i="27"/>
  <c r="G61" i="27"/>
  <c r="F61" i="27"/>
  <c r="E61" i="27"/>
  <c r="D61" i="27"/>
  <c r="C61" i="27"/>
  <c r="H61" i="27" s="1"/>
  <c r="I61" i="27" s="1"/>
  <c r="B61" i="27"/>
  <c r="H60" i="27"/>
  <c r="I60" i="27"/>
  <c r="H59" i="27"/>
  <c r="I59" i="27" s="1"/>
  <c r="H58" i="27"/>
  <c r="I58" i="27"/>
  <c r="H57" i="27"/>
  <c r="I57" i="27" s="1"/>
  <c r="G56" i="27"/>
  <c r="F56" i="27"/>
  <c r="E56" i="27"/>
  <c r="D56" i="27"/>
  <c r="C56" i="27"/>
  <c r="B56" i="27"/>
  <c r="H55" i="27"/>
  <c r="I55" i="27" s="1"/>
  <c r="H54" i="27"/>
  <c r="I54" i="27"/>
  <c r="H53" i="27"/>
  <c r="I53" i="27" s="1"/>
  <c r="G52" i="27"/>
  <c r="F52" i="27"/>
  <c r="E52" i="27"/>
  <c r="D52" i="27"/>
  <c r="C52" i="27"/>
  <c r="B52" i="27"/>
  <c r="H52" i="27" s="1"/>
  <c r="I52" i="27" s="1"/>
  <c r="I51" i="27"/>
  <c r="H51" i="27"/>
  <c r="H50" i="27"/>
  <c r="I50" i="27"/>
  <c r="H49" i="27"/>
  <c r="I49" i="27" s="1"/>
  <c r="H48" i="27"/>
  <c r="I48" i="27"/>
  <c r="G47" i="27"/>
  <c r="F47" i="27"/>
  <c r="E47" i="27"/>
  <c r="D47" i="27"/>
  <c r="C47" i="27"/>
  <c r="B47" i="27"/>
  <c r="H46" i="27"/>
  <c r="I46" i="27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/>
  <c r="H39" i="27"/>
  <c r="I39" i="27" s="1"/>
  <c r="H38" i="27"/>
  <c r="I38" i="27" s="1"/>
  <c r="H37" i="27"/>
  <c r="I37" i="27" s="1"/>
  <c r="G36" i="27"/>
  <c r="G35" i="27" s="1"/>
  <c r="F36" i="27"/>
  <c r="F35" i="27" s="1"/>
  <c r="E36" i="27"/>
  <c r="C36" i="27"/>
  <c r="B36" i="27"/>
  <c r="H36" i="27" s="1"/>
  <c r="H34" i="27"/>
  <c r="I34" i="27" s="1"/>
  <c r="H33" i="27"/>
  <c r="I33" i="27"/>
  <c r="H32" i="27"/>
  <c r="I32" i="27" s="1"/>
  <c r="H31" i="27"/>
  <c r="I31" i="27" s="1"/>
  <c r="H30" i="27"/>
  <c r="I30" i="27" s="1"/>
  <c r="G29" i="27"/>
  <c r="F29" i="27"/>
  <c r="E29" i="27"/>
  <c r="D29" i="27"/>
  <c r="C29" i="27"/>
  <c r="B29" i="27"/>
  <c r="H29" i="27" s="1"/>
  <c r="I29" i="27" s="1"/>
  <c r="H28" i="27"/>
  <c r="I28" i="27" s="1"/>
  <c r="H27" i="27"/>
  <c r="I27" i="27"/>
  <c r="H26" i="27"/>
  <c r="I26" i="27" s="1"/>
  <c r="H25" i="27"/>
  <c r="I25" i="27"/>
  <c r="G24" i="27"/>
  <c r="F24" i="27"/>
  <c r="E24" i="27"/>
  <c r="D24" i="27"/>
  <c r="C24" i="27"/>
  <c r="B24" i="27"/>
  <c r="H24" i="27" s="1"/>
  <c r="I24" i="27" s="1"/>
  <c r="H23" i="27"/>
  <c r="I23" i="27"/>
  <c r="H22" i="27"/>
  <c r="I22" i="27" s="1"/>
  <c r="H21" i="27"/>
  <c r="I21" i="27" s="1"/>
  <c r="H20" i="27"/>
  <c r="I20" i="27" s="1"/>
  <c r="G19" i="27"/>
  <c r="F19" i="27"/>
  <c r="E19" i="27"/>
  <c r="D19" i="27"/>
  <c r="C19" i="27"/>
  <c r="B19" i="27"/>
  <c r="H19" i="27" s="1"/>
  <c r="I19" i="27" s="1"/>
  <c r="H18" i="27"/>
  <c r="I18" i="27" s="1"/>
  <c r="H17" i="27"/>
  <c r="I17" i="27"/>
  <c r="H16" i="27"/>
  <c r="I16" i="27" s="1"/>
  <c r="H15" i="27"/>
  <c r="I15" i="27"/>
  <c r="G14" i="27"/>
  <c r="F14" i="27"/>
  <c r="E14" i="27"/>
  <c r="D14" i="27"/>
  <c r="C14" i="27"/>
  <c r="B14" i="27"/>
  <c r="H14" i="27" s="1"/>
  <c r="I14" i="27" s="1"/>
  <c r="H13" i="27"/>
  <c r="I13" i="27"/>
  <c r="H12" i="27"/>
  <c r="I12" i="27" s="1"/>
  <c r="H11" i="27"/>
  <c r="I11" i="27"/>
  <c r="H10" i="27"/>
  <c r="I10" i="27" s="1"/>
  <c r="G9" i="27"/>
  <c r="F9" i="27"/>
  <c r="E9" i="27"/>
  <c r="D9" i="27"/>
  <c r="C9" i="27"/>
  <c r="B9" i="27"/>
  <c r="H8" i="27"/>
  <c r="I8" i="27" s="1"/>
  <c r="H7" i="27"/>
  <c r="I7" i="27"/>
  <c r="H6" i="27"/>
  <c r="I6" i="27" s="1"/>
  <c r="H5" i="27"/>
  <c r="I5" i="27"/>
  <c r="G4" i="27"/>
  <c r="F4" i="27"/>
  <c r="E4" i="27"/>
  <c r="D4" i="27"/>
  <c r="C4" i="27"/>
  <c r="H4" i="27" s="1"/>
  <c r="I4" i="27" s="1"/>
  <c r="B4" i="27"/>
  <c r="E35" i="27"/>
  <c r="H47" i="27"/>
  <c r="I47" i="27" s="1"/>
  <c r="C35" i="27"/>
  <c r="H56" i="27"/>
  <c r="I56" i="27" s="1"/>
  <c r="H70" i="26"/>
  <c r="I70" i="26" s="1"/>
  <c r="H69" i="26"/>
  <c r="I69" i="26" s="1"/>
  <c r="H68" i="26"/>
  <c r="I68" i="26" s="1"/>
  <c r="H67" i="26"/>
  <c r="I67" i="26" s="1"/>
  <c r="G66" i="26"/>
  <c r="F66" i="26"/>
  <c r="E66" i="26"/>
  <c r="D66" i="26"/>
  <c r="C66" i="26"/>
  <c r="B66" i="26"/>
  <c r="H65" i="26"/>
  <c r="I65" i="26" s="1"/>
  <c r="H64" i="26"/>
  <c r="I64" i="26" s="1"/>
  <c r="H63" i="26"/>
  <c r="I63" i="26" s="1"/>
  <c r="H62" i="26"/>
  <c r="I62" i="26" s="1"/>
  <c r="G61" i="26"/>
  <c r="F61" i="26"/>
  <c r="E61" i="26"/>
  <c r="D61" i="26"/>
  <c r="C61" i="26"/>
  <c r="H61" i="26" s="1"/>
  <c r="I61" i="26" s="1"/>
  <c r="B61" i="26"/>
  <c r="H60" i="26"/>
  <c r="I60" i="26" s="1"/>
  <c r="H59" i="26"/>
  <c r="I59" i="26" s="1"/>
  <c r="H58" i="26"/>
  <c r="I58" i="26" s="1"/>
  <c r="H57" i="26"/>
  <c r="I57" i="26" s="1"/>
  <c r="G56" i="26"/>
  <c r="F56" i="26"/>
  <c r="E56" i="26"/>
  <c r="D56" i="26"/>
  <c r="C56" i="26"/>
  <c r="B56" i="26"/>
  <c r="H55" i="26"/>
  <c r="I55" i="26" s="1"/>
  <c r="H54" i="26"/>
  <c r="I54" i="26" s="1"/>
  <c r="H53" i="26"/>
  <c r="I53" i="26" s="1"/>
  <c r="G52" i="26"/>
  <c r="F52" i="26"/>
  <c r="E52" i="26"/>
  <c r="D52" i="26"/>
  <c r="C52" i="26"/>
  <c r="B52" i="26"/>
  <c r="H52" i="26" s="1"/>
  <c r="I52" i="26" s="1"/>
  <c r="H51" i="26"/>
  <c r="I51" i="26" s="1"/>
  <c r="H50" i="26"/>
  <c r="I50" i="26" s="1"/>
  <c r="H49" i="26"/>
  <c r="I49" i="26" s="1"/>
  <c r="H48" i="26"/>
  <c r="I48" i="26" s="1"/>
  <c r="G47" i="26"/>
  <c r="F47" i="26"/>
  <c r="E47" i="26"/>
  <c r="D47" i="26"/>
  <c r="C47" i="26"/>
  <c r="B47" i="26"/>
  <c r="H47" i="26" s="1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G36" i="26"/>
  <c r="F36" i="26"/>
  <c r="E36" i="26"/>
  <c r="D36" i="26"/>
  <c r="D35" i="26" s="1"/>
  <c r="C36" i="26"/>
  <c r="B36" i="26"/>
  <c r="H36" i="26" s="1"/>
  <c r="H34" i="26"/>
  <c r="I34" i="26" s="1"/>
  <c r="H33" i="26"/>
  <c r="I33" i="26" s="1"/>
  <c r="H32" i="26"/>
  <c r="I32" i="26" s="1"/>
  <c r="H31" i="26"/>
  <c r="I31" i="26" s="1"/>
  <c r="H30" i="26"/>
  <c r="I30" i="26" s="1"/>
  <c r="G29" i="26"/>
  <c r="F29" i="26"/>
  <c r="E29" i="26"/>
  <c r="D29" i="26"/>
  <c r="C29" i="26"/>
  <c r="H29" i="26" s="1"/>
  <c r="I29" i="26" s="1"/>
  <c r="B29" i="26"/>
  <c r="H28" i="26"/>
  <c r="I28" i="26" s="1"/>
  <c r="H27" i="26"/>
  <c r="I27" i="26" s="1"/>
  <c r="H26" i="26"/>
  <c r="I26" i="26" s="1"/>
  <c r="H25" i="26"/>
  <c r="I25" i="26" s="1"/>
  <c r="G24" i="26"/>
  <c r="F24" i="26"/>
  <c r="E24" i="26"/>
  <c r="D24" i="26"/>
  <c r="C24" i="26"/>
  <c r="B24" i="26"/>
  <c r="H23" i="26"/>
  <c r="I23" i="26" s="1"/>
  <c r="H22" i="26"/>
  <c r="I22" i="26" s="1"/>
  <c r="H21" i="26"/>
  <c r="I21" i="26" s="1"/>
  <c r="H20" i="26"/>
  <c r="I20" i="26" s="1"/>
  <c r="G19" i="26"/>
  <c r="F19" i="26"/>
  <c r="E19" i="26"/>
  <c r="D19" i="26"/>
  <c r="C19" i="26"/>
  <c r="B19" i="26"/>
  <c r="H18" i="26"/>
  <c r="I18" i="26" s="1"/>
  <c r="H17" i="26"/>
  <c r="I17" i="26" s="1"/>
  <c r="H16" i="26"/>
  <c r="I16" i="26" s="1"/>
  <c r="H15" i="26"/>
  <c r="I15" i="26" s="1"/>
  <c r="G14" i="26"/>
  <c r="F14" i="26"/>
  <c r="E14" i="26"/>
  <c r="D14" i="26"/>
  <c r="C14" i="26"/>
  <c r="B14" i="26"/>
  <c r="H13" i="26"/>
  <c r="I13" i="26" s="1"/>
  <c r="H12" i="26"/>
  <c r="I12" i="26" s="1"/>
  <c r="H11" i="26"/>
  <c r="I11" i="26" s="1"/>
  <c r="H10" i="26"/>
  <c r="I10" i="26" s="1"/>
  <c r="G9" i="26"/>
  <c r="F9" i="26"/>
  <c r="E9" i="26"/>
  <c r="D9" i="26"/>
  <c r="C9" i="26"/>
  <c r="H9" i="26" s="1"/>
  <c r="I9" i="26" s="1"/>
  <c r="B9" i="26"/>
  <c r="H8" i="26"/>
  <c r="I8" i="26" s="1"/>
  <c r="H7" i="26"/>
  <c r="I7" i="26" s="1"/>
  <c r="H6" i="26"/>
  <c r="I6" i="26" s="1"/>
  <c r="H5" i="26"/>
  <c r="I5" i="26" s="1"/>
  <c r="G4" i="26"/>
  <c r="F4" i="26"/>
  <c r="E4" i="26"/>
  <c r="D4" i="26"/>
  <c r="C4" i="26"/>
  <c r="B4" i="26"/>
  <c r="G35" i="26"/>
  <c r="F35" i="26"/>
  <c r="E35" i="26"/>
  <c r="H66" i="26"/>
  <c r="I66" i="26" s="1"/>
  <c r="H56" i="26"/>
  <c r="I56" i="26" s="1"/>
  <c r="C35" i="26"/>
  <c r="H24" i="26"/>
  <c r="I24" i="26" s="1"/>
  <c r="B35" i="26"/>
  <c r="H70" i="25"/>
  <c r="I70" i="25" s="1"/>
  <c r="H69" i="25"/>
  <c r="I69" i="25" s="1"/>
  <c r="H68" i="25"/>
  <c r="I68" i="25" s="1"/>
  <c r="H67" i="25"/>
  <c r="I67" i="25"/>
  <c r="G66" i="25"/>
  <c r="F66" i="25"/>
  <c r="E66" i="25"/>
  <c r="D66" i="25"/>
  <c r="C66" i="25"/>
  <c r="B66" i="25"/>
  <c r="H65" i="25"/>
  <c r="I65" i="25"/>
  <c r="H64" i="25"/>
  <c r="I64" i="25" s="1"/>
  <c r="H63" i="25"/>
  <c r="I63" i="25"/>
  <c r="H62" i="25"/>
  <c r="I62" i="25" s="1"/>
  <c r="G61" i="25"/>
  <c r="F61" i="25"/>
  <c r="E61" i="25"/>
  <c r="D61" i="25"/>
  <c r="H61" i="25" s="1"/>
  <c r="I61" i="25" s="1"/>
  <c r="C61" i="25"/>
  <c r="B61" i="25"/>
  <c r="H60" i="25"/>
  <c r="I60" i="25" s="1"/>
  <c r="H59" i="25"/>
  <c r="I59" i="25" s="1"/>
  <c r="H58" i="25"/>
  <c r="I58" i="25" s="1"/>
  <c r="H57" i="25"/>
  <c r="I57" i="25"/>
  <c r="G56" i="25"/>
  <c r="F56" i="25"/>
  <c r="E56" i="25"/>
  <c r="D56" i="25"/>
  <c r="H56" i="25" s="1"/>
  <c r="I56" i="25" s="1"/>
  <c r="C56" i="25"/>
  <c r="B56" i="25"/>
  <c r="H55" i="25"/>
  <c r="I55" i="25"/>
  <c r="H54" i="25"/>
  <c r="I54" i="25" s="1"/>
  <c r="H53" i="25"/>
  <c r="I53" i="25"/>
  <c r="G52" i="25"/>
  <c r="F52" i="25"/>
  <c r="E52" i="25"/>
  <c r="D52" i="25"/>
  <c r="C52" i="25"/>
  <c r="B52" i="25"/>
  <c r="H51" i="25"/>
  <c r="I51" i="25" s="1"/>
  <c r="H50" i="25"/>
  <c r="I50" i="25"/>
  <c r="H49" i="25"/>
  <c r="I49" i="25" s="1"/>
  <c r="H48" i="25"/>
  <c r="I48" i="25"/>
  <c r="G47" i="25"/>
  <c r="F47" i="25"/>
  <c r="E47" i="25"/>
  <c r="D47" i="25"/>
  <c r="C47" i="25"/>
  <c r="H47" i="25" s="1"/>
  <c r="I47" i="25" s="1"/>
  <c r="B47" i="25"/>
  <c r="H46" i="25"/>
  <c r="I46" i="25"/>
  <c r="H45" i="25"/>
  <c r="I45" i="25" s="1"/>
  <c r="H44" i="25"/>
  <c r="I44" i="25"/>
  <c r="H43" i="25"/>
  <c r="I43" i="25" s="1"/>
  <c r="H42" i="25"/>
  <c r="I42" i="25" s="1"/>
  <c r="H41" i="25"/>
  <c r="I41" i="25" s="1"/>
  <c r="H40" i="25"/>
  <c r="I40" i="25"/>
  <c r="H39" i="25"/>
  <c r="I39" i="25" s="1"/>
  <c r="H38" i="25"/>
  <c r="I38" i="25"/>
  <c r="H37" i="25"/>
  <c r="I37" i="25" s="1"/>
  <c r="G36" i="25"/>
  <c r="G35" i="25"/>
  <c r="F36" i="25"/>
  <c r="F35" i="25" s="1"/>
  <c r="E36" i="25"/>
  <c r="H36" i="25" s="1"/>
  <c r="D36" i="25"/>
  <c r="C36" i="25"/>
  <c r="C35" i="25" s="1"/>
  <c r="B36" i="25"/>
  <c r="B35" i="25" s="1"/>
  <c r="H34" i="25"/>
  <c r="I34" i="25" s="1"/>
  <c r="H33" i="25"/>
  <c r="I33" i="25" s="1"/>
  <c r="H32" i="25"/>
  <c r="I32" i="25"/>
  <c r="H31" i="25"/>
  <c r="I31" i="25" s="1"/>
  <c r="H30" i="25"/>
  <c r="I30" i="25"/>
  <c r="G29" i="25"/>
  <c r="F29" i="25"/>
  <c r="E29" i="25"/>
  <c r="D29" i="25"/>
  <c r="C29" i="25"/>
  <c r="H29" i="25" s="1"/>
  <c r="I29" i="25" s="1"/>
  <c r="B29" i="25"/>
  <c r="H28" i="25"/>
  <c r="I28" i="25"/>
  <c r="H27" i="25"/>
  <c r="I27" i="25" s="1"/>
  <c r="H26" i="25"/>
  <c r="I26" i="25"/>
  <c r="H25" i="25"/>
  <c r="I25" i="25" s="1"/>
  <c r="G24" i="25"/>
  <c r="F24" i="25"/>
  <c r="E24" i="25"/>
  <c r="D24" i="25"/>
  <c r="C24" i="25"/>
  <c r="H24" i="25" s="1"/>
  <c r="I24" i="25" s="1"/>
  <c r="B24" i="25"/>
  <c r="H23" i="25"/>
  <c r="I23" i="25" s="1"/>
  <c r="H22" i="25"/>
  <c r="I22" i="25"/>
  <c r="H21" i="25"/>
  <c r="I21" i="25" s="1"/>
  <c r="H20" i="25"/>
  <c r="I20" i="25"/>
  <c r="G19" i="25"/>
  <c r="F19" i="25"/>
  <c r="E19" i="25"/>
  <c r="D19" i="25"/>
  <c r="C19" i="25"/>
  <c r="H19" i="25" s="1"/>
  <c r="I19" i="25" s="1"/>
  <c r="B19" i="25"/>
  <c r="H18" i="25"/>
  <c r="I18" i="25"/>
  <c r="H17" i="25"/>
  <c r="I17" i="25" s="1"/>
  <c r="H16" i="25"/>
  <c r="I16" i="25"/>
  <c r="H15" i="25"/>
  <c r="I15" i="25" s="1"/>
  <c r="G14" i="25"/>
  <c r="F14" i="25"/>
  <c r="E14" i="25"/>
  <c r="D14" i="25"/>
  <c r="C14" i="25"/>
  <c r="B14" i="25"/>
  <c r="H13" i="25"/>
  <c r="I13" i="25" s="1"/>
  <c r="H12" i="25"/>
  <c r="I12" i="25"/>
  <c r="H11" i="25"/>
  <c r="I11" i="25" s="1"/>
  <c r="H10" i="25"/>
  <c r="I10" i="25"/>
  <c r="G9" i="25"/>
  <c r="F9" i="25"/>
  <c r="E9" i="25"/>
  <c r="D9" i="25"/>
  <c r="C9" i="25"/>
  <c r="H9" i="25" s="1"/>
  <c r="I9" i="25" s="1"/>
  <c r="B9" i="25"/>
  <c r="H8" i="25"/>
  <c r="I8" i="25"/>
  <c r="H7" i="25"/>
  <c r="I7" i="25" s="1"/>
  <c r="H6" i="25"/>
  <c r="I6" i="25"/>
  <c r="H5" i="25"/>
  <c r="I5" i="25" s="1"/>
  <c r="G4" i="25"/>
  <c r="F4" i="25"/>
  <c r="E4" i="25"/>
  <c r="D4" i="25"/>
  <c r="C4" i="25"/>
  <c r="H4" i="25" s="1"/>
  <c r="I4" i="25" s="1"/>
  <c r="B4" i="25"/>
  <c r="B36" i="23"/>
  <c r="B36" i="24"/>
  <c r="B35" i="24" s="1"/>
  <c r="C36" i="24"/>
  <c r="D36" i="24"/>
  <c r="E36" i="24"/>
  <c r="F36" i="24"/>
  <c r="G36" i="24"/>
  <c r="H70" i="24"/>
  <c r="I70" i="24" s="1"/>
  <c r="H69" i="24"/>
  <c r="I69" i="24" s="1"/>
  <c r="H68" i="24"/>
  <c r="I68" i="24" s="1"/>
  <c r="H67" i="24"/>
  <c r="I67" i="24" s="1"/>
  <c r="B66" i="24"/>
  <c r="C66" i="24"/>
  <c r="D66" i="24"/>
  <c r="H66" i="24" s="1"/>
  <c r="I66" i="24" s="1"/>
  <c r="E66" i="24"/>
  <c r="F66" i="24"/>
  <c r="G66" i="24"/>
  <c r="H65" i="24"/>
  <c r="I65" i="24" s="1"/>
  <c r="H64" i="24"/>
  <c r="I64" i="24" s="1"/>
  <c r="H63" i="24"/>
  <c r="I63" i="24" s="1"/>
  <c r="H62" i="24"/>
  <c r="I62" i="24" s="1"/>
  <c r="B61" i="24"/>
  <c r="C61" i="24"/>
  <c r="D61" i="24"/>
  <c r="H61" i="24" s="1"/>
  <c r="I61" i="24" s="1"/>
  <c r="E61" i="24"/>
  <c r="F61" i="24"/>
  <c r="G61" i="24"/>
  <c r="H60" i="24"/>
  <c r="I60" i="24" s="1"/>
  <c r="H59" i="24"/>
  <c r="I59" i="24" s="1"/>
  <c r="H58" i="24"/>
  <c r="I58" i="24"/>
  <c r="H57" i="24"/>
  <c r="I57" i="24" s="1"/>
  <c r="G56" i="24"/>
  <c r="F56" i="24"/>
  <c r="E56" i="24"/>
  <c r="H56" i="24" s="1"/>
  <c r="I56" i="24" s="1"/>
  <c r="D56" i="24"/>
  <c r="C56" i="24"/>
  <c r="B56" i="24"/>
  <c r="H55" i="24"/>
  <c r="I55" i="24" s="1"/>
  <c r="H54" i="24"/>
  <c r="I54" i="24" s="1"/>
  <c r="H53" i="24"/>
  <c r="I53" i="24" s="1"/>
  <c r="B52" i="24"/>
  <c r="C52" i="24"/>
  <c r="D52" i="24"/>
  <c r="E52" i="24"/>
  <c r="F52" i="24"/>
  <c r="G52" i="24"/>
  <c r="H51" i="24"/>
  <c r="I51" i="24" s="1"/>
  <c r="H50" i="24"/>
  <c r="I50" i="24"/>
  <c r="H49" i="24"/>
  <c r="I49" i="24" s="1"/>
  <c r="H48" i="24"/>
  <c r="I48" i="24" s="1"/>
  <c r="B47" i="24"/>
  <c r="H47" i="24" s="1"/>
  <c r="I47" i="24" s="1"/>
  <c r="C47" i="24"/>
  <c r="D47" i="24"/>
  <c r="E47" i="24"/>
  <c r="F47" i="24"/>
  <c r="G47" i="24"/>
  <c r="H46" i="24"/>
  <c r="I46" i="24" s="1"/>
  <c r="H45" i="24"/>
  <c r="I45" i="24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/>
  <c r="G35" i="24"/>
  <c r="E35" i="24"/>
  <c r="D35" i="24"/>
  <c r="H34" i="24"/>
  <c r="I34" i="24" s="1"/>
  <c r="H33" i="24"/>
  <c r="I33" i="24" s="1"/>
  <c r="H32" i="24"/>
  <c r="I32" i="24" s="1"/>
  <c r="H31" i="24"/>
  <c r="I31" i="24" s="1"/>
  <c r="H30" i="24"/>
  <c r="I30" i="24" s="1"/>
  <c r="B29" i="24"/>
  <c r="C29" i="24"/>
  <c r="D29" i="24"/>
  <c r="E29" i="24"/>
  <c r="H29" i="24" s="1"/>
  <c r="I29" i="24" s="1"/>
  <c r="F29" i="24"/>
  <c r="G29" i="24"/>
  <c r="H28" i="24"/>
  <c r="I28" i="24" s="1"/>
  <c r="H27" i="24"/>
  <c r="I27" i="24" s="1"/>
  <c r="H26" i="24"/>
  <c r="I26" i="24" s="1"/>
  <c r="H25" i="24"/>
  <c r="I25" i="24" s="1"/>
  <c r="B24" i="24"/>
  <c r="C24" i="24"/>
  <c r="D24" i="24"/>
  <c r="E24" i="24"/>
  <c r="F24" i="24"/>
  <c r="G24" i="24"/>
  <c r="H23" i="24"/>
  <c r="I23" i="24" s="1"/>
  <c r="H22" i="24"/>
  <c r="I22" i="24" s="1"/>
  <c r="H21" i="24"/>
  <c r="I21" i="24" s="1"/>
  <c r="H20" i="24"/>
  <c r="I20" i="24" s="1"/>
  <c r="B19" i="24"/>
  <c r="C19" i="24"/>
  <c r="D19" i="24"/>
  <c r="E19" i="24"/>
  <c r="H19" i="24" s="1"/>
  <c r="I19" i="24" s="1"/>
  <c r="F19" i="24"/>
  <c r="G19" i="24"/>
  <c r="H18" i="24"/>
  <c r="I18" i="24" s="1"/>
  <c r="H17" i="24"/>
  <c r="I17" i="24" s="1"/>
  <c r="H16" i="24"/>
  <c r="I16" i="24" s="1"/>
  <c r="H15" i="24"/>
  <c r="I15" i="24" s="1"/>
  <c r="B14" i="24"/>
  <c r="C14" i="24"/>
  <c r="D14" i="24"/>
  <c r="E14" i="24"/>
  <c r="F14" i="24"/>
  <c r="G14" i="24"/>
  <c r="H14" i="24" s="1"/>
  <c r="I14" i="24" s="1"/>
  <c r="H13" i="24"/>
  <c r="H12" i="24"/>
  <c r="I12" i="24" s="1"/>
  <c r="H11" i="24"/>
  <c r="I11" i="24" s="1"/>
  <c r="H10" i="24"/>
  <c r="I10" i="24" s="1"/>
  <c r="B9" i="24"/>
  <c r="C9" i="24"/>
  <c r="D9" i="24"/>
  <c r="E9" i="24"/>
  <c r="H9" i="24" s="1"/>
  <c r="I9" i="24" s="1"/>
  <c r="F9" i="24"/>
  <c r="G9" i="24"/>
  <c r="H8" i="24"/>
  <c r="I8" i="24" s="1"/>
  <c r="H7" i="24"/>
  <c r="I7" i="24" s="1"/>
  <c r="H6" i="24"/>
  <c r="I6" i="24" s="1"/>
  <c r="H5" i="24"/>
  <c r="I5" i="24" s="1"/>
  <c r="B4" i="24"/>
  <c r="C4" i="24"/>
  <c r="D4" i="24"/>
  <c r="E4" i="24"/>
  <c r="F4" i="24"/>
  <c r="G4" i="24"/>
  <c r="H54" i="23"/>
  <c r="I54" i="23" s="1"/>
  <c r="G29" i="23"/>
  <c r="E36" i="23"/>
  <c r="E35" i="23"/>
  <c r="G36" i="23"/>
  <c r="H36" i="23" s="1"/>
  <c r="D36" i="23"/>
  <c r="D35" i="23" s="1"/>
  <c r="F36" i="23"/>
  <c r="C36" i="23"/>
  <c r="C35" i="23" s="1"/>
  <c r="C52" i="23"/>
  <c r="H52" i="23" s="1"/>
  <c r="I52" i="23" s="1"/>
  <c r="D52" i="23"/>
  <c r="E52" i="23"/>
  <c r="F52" i="23"/>
  <c r="G52" i="23"/>
  <c r="B52" i="23"/>
  <c r="C56" i="23"/>
  <c r="D56" i="23"/>
  <c r="E56" i="23"/>
  <c r="F56" i="23"/>
  <c r="G56" i="23"/>
  <c r="H57" i="23"/>
  <c r="I57" i="23"/>
  <c r="H58" i="23"/>
  <c r="I58" i="23" s="1"/>
  <c r="H60" i="23"/>
  <c r="H59" i="23"/>
  <c r="I59" i="23" s="1"/>
  <c r="B56" i="23"/>
  <c r="H70" i="23"/>
  <c r="I70" i="23" s="1"/>
  <c r="H69" i="23"/>
  <c r="I69" i="23"/>
  <c r="H68" i="23"/>
  <c r="I68" i="23" s="1"/>
  <c r="H67" i="23"/>
  <c r="I67" i="23"/>
  <c r="B66" i="23"/>
  <c r="C66" i="23"/>
  <c r="D66" i="23"/>
  <c r="H66" i="23" s="1"/>
  <c r="I66" i="23" s="1"/>
  <c r="E66" i="23"/>
  <c r="F66" i="23"/>
  <c r="G66" i="23"/>
  <c r="H65" i="23"/>
  <c r="I65" i="23"/>
  <c r="H64" i="23"/>
  <c r="I64" i="23" s="1"/>
  <c r="H63" i="23"/>
  <c r="I63" i="23"/>
  <c r="H62" i="23"/>
  <c r="I62" i="23" s="1"/>
  <c r="B61" i="23"/>
  <c r="C61" i="23"/>
  <c r="H61" i="23" s="1"/>
  <c r="I61" i="23" s="1"/>
  <c r="D61" i="23"/>
  <c r="E61" i="23"/>
  <c r="F61" i="23"/>
  <c r="G61" i="23"/>
  <c r="I60" i="23"/>
  <c r="H55" i="23"/>
  <c r="I55" i="23" s="1"/>
  <c r="H53" i="23"/>
  <c r="I53" i="23"/>
  <c r="H51" i="23"/>
  <c r="I51" i="23" s="1"/>
  <c r="H50" i="23"/>
  <c r="I50" i="23" s="1"/>
  <c r="H49" i="23"/>
  <c r="I49" i="23" s="1"/>
  <c r="H48" i="23"/>
  <c r="I48" i="23" s="1"/>
  <c r="B47" i="23"/>
  <c r="C47" i="23"/>
  <c r="D47" i="23"/>
  <c r="H47" i="23" s="1"/>
  <c r="I47" i="23" s="1"/>
  <c r="E47" i="23"/>
  <c r="F47" i="23"/>
  <c r="G47" i="23"/>
  <c r="H46" i="23"/>
  <c r="I46" i="23" s="1"/>
  <c r="H45" i="23"/>
  <c r="I45" i="23" s="1"/>
  <c r="H44" i="23"/>
  <c r="I44" i="23" s="1"/>
  <c r="H43" i="23"/>
  <c r="I43" i="23" s="1"/>
  <c r="H42" i="23"/>
  <c r="I42" i="23" s="1"/>
  <c r="H41" i="23"/>
  <c r="I41" i="23" s="1"/>
  <c r="H40" i="23"/>
  <c r="I40" i="23" s="1"/>
  <c r="H39" i="23"/>
  <c r="I39" i="23" s="1"/>
  <c r="H38" i="23"/>
  <c r="I38" i="23" s="1"/>
  <c r="H37" i="23"/>
  <c r="I37" i="23" s="1"/>
  <c r="G35" i="23"/>
  <c r="F35" i="23"/>
  <c r="B35" i="23"/>
  <c r="H34" i="23"/>
  <c r="I34" i="23" s="1"/>
  <c r="H33" i="23"/>
  <c r="I33" i="23"/>
  <c r="H32" i="23"/>
  <c r="I32" i="23" s="1"/>
  <c r="H31" i="23"/>
  <c r="I31" i="23"/>
  <c r="H30" i="23"/>
  <c r="I30" i="23" s="1"/>
  <c r="B29" i="23"/>
  <c r="C29" i="23"/>
  <c r="H29" i="23" s="1"/>
  <c r="I29" i="23" s="1"/>
  <c r="D29" i="23"/>
  <c r="E29" i="23"/>
  <c r="F29" i="23"/>
  <c r="H28" i="23"/>
  <c r="I28" i="23" s="1"/>
  <c r="H27" i="23"/>
  <c r="I27" i="23" s="1"/>
  <c r="H26" i="23"/>
  <c r="I26" i="23" s="1"/>
  <c r="H25" i="23"/>
  <c r="I25" i="23" s="1"/>
  <c r="B24" i="23"/>
  <c r="C24" i="23"/>
  <c r="H24" i="23" s="1"/>
  <c r="I24" i="23" s="1"/>
  <c r="D24" i="23"/>
  <c r="E24" i="23"/>
  <c r="F24" i="23"/>
  <c r="G24" i="23"/>
  <c r="H23" i="23"/>
  <c r="I23" i="23"/>
  <c r="H22" i="23"/>
  <c r="I22" i="23" s="1"/>
  <c r="H21" i="23"/>
  <c r="I21" i="23"/>
  <c r="H20" i="23"/>
  <c r="I20" i="23" s="1"/>
  <c r="B19" i="23"/>
  <c r="C19" i="23"/>
  <c r="D19" i="23"/>
  <c r="E19" i="23"/>
  <c r="F19" i="23"/>
  <c r="G19" i="23"/>
  <c r="H18" i="23"/>
  <c r="I18" i="23" s="1"/>
  <c r="H17" i="23"/>
  <c r="I17" i="23"/>
  <c r="H16" i="23"/>
  <c r="I16" i="23" s="1"/>
  <c r="H15" i="23"/>
  <c r="I15" i="23"/>
  <c r="B14" i="23"/>
  <c r="C14" i="23"/>
  <c r="D14" i="23"/>
  <c r="E14" i="23"/>
  <c r="F14" i="23"/>
  <c r="G14" i="23"/>
  <c r="H13" i="23"/>
  <c r="H12" i="23"/>
  <c r="I12" i="23"/>
  <c r="H11" i="23"/>
  <c r="I11" i="23"/>
  <c r="H10" i="23"/>
  <c r="I10" i="23"/>
  <c r="B9" i="23"/>
  <c r="C9" i="23"/>
  <c r="D9" i="23"/>
  <c r="H9" i="23" s="1"/>
  <c r="I9" i="23" s="1"/>
  <c r="E9" i="23"/>
  <c r="F9" i="23"/>
  <c r="G9" i="23"/>
  <c r="H8" i="23"/>
  <c r="I8" i="23"/>
  <c r="H7" i="23"/>
  <c r="I7" i="23"/>
  <c r="H6" i="23"/>
  <c r="I6" i="23"/>
  <c r="H5" i="23"/>
  <c r="I5" i="23"/>
  <c r="B4" i="23"/>
  <c r="H4" i="23" s="1"/>
  <c r="I4" i="23" s="1"/>
  <c r="C4" i="23"/>
  <c r="D4" i="23"/>
  <c r="E4" i="23"/>
  <c r="F4" i="23"/>
  <c r="G4" i="23"/>
  <c r="H76" i="22"/>
  <c r="I76" i="22"/>
  <c r="H76" i="21"/>
  <c r="I76" i="21"/>
  <c r="H76" i="20"/>
  <c r="I76" i="20" s="1"/>
  <c r="H76" i="19"/>
  <c r="I76" i="19"/>
  <c r="H75" i="18"/>
  <c r="I75" i="18" s="1"/>
  <c r="G71" i="18"/>
  <c r="F71" i="18"/>
  <c r="E71" i="18"/>
  <c r="D71" i="18"/>
  <c r="C71" i="18"/>
  <c r="B71" i="18"/>
  <c r="G72" i="19"/>
  <c r="F72" i="19"/>
  <c r="E72" i="19"/>
  <c r="D72" i="19"/>
  <c r="C72" i="19"/>
  <c r="H72" i="19" s="1"/>
  <c r="I72" i="19" s="1"/>
  <c r="B72" i="19"/>
  <c r="G72" i="20"/>
  <c r="F72" i="20"/>
  <c r="E72" i="20"/>
  <c r="H72" i="20" s="1"/>
  <c r="I72" i="20" s="1"/>
  <c r="D72" i="20"/>
  <c r="C72" i="20"/>
  <c r="B72" i="20"/>
  <c r="G39" i="21"/>
  <c r="F39" i="21"/>
  <c r="F38" i="21" s="1"/>
  <c r="E39" i="21"/>
  <c r="H39" i="21" s="1"/>
  <c r="D39" i="21"/>
  <c r="C39" i="21"/>
  <c r="B39" i="21"/>
  <c r="G72" i="21"/>
  <c r="F72" i="21"/>
  <c r="E72" i="21"/>
  <c r="D72" i="21"/>
  <c r="C72" i="21"/>
  <c r="B72" i="21"/>
  <c r="G72" i="22"/>
  <c r="F72" i="22"/>
  <c r="E72" i="22"/>
  <c r="D72" i="22"/>
  <c r="C72" i="22"/>
  <c r="B72" i="22"/>
  <c r="H73" i="22"/>
  <c r="I73" i="22"/>
  <c r="H74" i="22"/>
  <c r="I74" i="22" s="1"/>
  <c r="H75" i="22"/>
  <c r="I75" i="22" s="1"/>
  <c r="H77" i="22"/>
  <c r="I77" i="22" s="1"/>
  <c r="H76" i="18"/>
  <c r="H74" i="18"/>
  <c r="H73" i="18"/>
  <c r="H72" i="18"/>
  <c r="I72" i="18"/>
  <c r="H77" i="19"/>
  <c r="I77" i="19" s="1"/>
  <c r="H75" i="19"/>
  <c r="H74" i="19"/>
  <c r="I74" i="19"/>
  <c r="H73" i="19"/>
  <c r="H77" i="20"/>
  <c r="I77" i="20" s="1"/>
  <c r="H75" i="20"/>
  <c r="I75" i="20" s="1"/>
  <c r="H74" i="20"/>
  <c r="H73" i="20"/>
  <c r="I73" i="20" s="1"/>
  <c r="H77" i="21"/>
  <c r="I77" i="21" s="1"/>
  <c r="H75" i="21"/>
  <c r="I75" i="21"/>
  <c r="H74" i="21"/>
  <c r="I74" i="21" s="1"/>
  <c r="H73" i="21"/>
  <c r="I73" i="21" s="1"/>
  <c r="H14" i="19"/>
  <c r="I14" i="19" s="1"/>
  <c r="B39" i="19"/>
  <c r="B38" i="19" s="1"/>
  <c r="H14" i="20"/>
  <c r="B39" i="20"/>
  <c r="H14" i="21"/>
  <c r="H14" i="22"/>
  <c r="I14" i="22" s="1"/>
  <c r="B39" i="22"/>
  <c r="H39" i="22" s="1"/>
  <c r="H8" i="21"/>
  <c r="I8" i="21" s="1"/>
  <c r="H7" i="21"/>
  <c r="I7" i="21" s="1"/>
  <c r="H34" i="18"/>
  <c r="I34" i="18" s="1"/>
  <c r="H35" i="22"/>
  <c r="I35" i="22" s="1"/>
  <c r="H8" i="22"/>
  <c r="I8" i="22"/>
  <c r="H70" i="22"/>
  <c r="I70" i="22" s="1"/>
  <c r="H35" i="21"/>
  <c r="I35" i="21"/>
  <c r="H70" i="21"/>
  <c r="I70" i="21" s="1"/>
  <c r="H8" i="20"/>
  <c r="I8" i="20" s="1"/>
  <c r="H35" i="20"/>
  <c r="I35" i="20" s="1"/>
  <c r="H70" i="20"/>
  <c r="I70" i="20"/>
  <c r="H8" i="19"/>
  <c r="I8" i="19" s="1"/>
  <c r="H35" i="19"/>
  <c r="I35" i="19" s="1"/>
  <c r="H70" i="19"/>
  <c r="I70" i="19" s="1"/>
  <c r="H69" i="18"/>
  <c r="I69" i="18" s="1"/>
  <c r="H8" i="18"/>
  <c r="I8" i="18" s="1"/>
  <c r="C39" i="22"/>
  <c r="D39" i="22"/>
  <c r="E39" i="22"/>
  <c r="F39" i="22"/>
  <c r="F38" i="22"/>
  <c r="G39" i="22"/>
  <c r="H82" i="22"/>
  <c r="I82" i="22"/>
  <c r="H81" i="22"/>
  <c r="I81" i="22" s="1"/>
  <c r="H80" i="22"/>
  <c r="I80" i="22"/>
  <c r="H79" i="22"/>
  <c r="I79" i="22" s="1"/>
  <c r="B78" i="22"/>
  <c r="H78" i="22" s="1"/>
  <c r="I78" i="22" s="1"/>
  <c r="C78" i="22"/>
  <c r="D78" i="22"/>
  <c r="E78" i="22"/>
  <c r="F78" i="22"/>
  <c r="G78" i="22"/>
  <c r="H71" i="22"/>
  <c r="I71" i="22" s="1"/>
  <c r="H69" i="22"/>
  <c r="I69" i="22"/>
  <c r="H68" i="22"/>
  <c r="I68" i="22" s="1"/>
  <c r="H67" i="22"/>
  <c r="I67" i="22"/>
  <c r="H62" i="22"/>
  <c r="I62" i="22" s="1"/>
  <c r="H63" i="22"/>
  <c r="I63" i="22"/>
  <c r="H64" i="22"/>
  <c r="I64" i="22" s="1"/>
  <c r="H65" i="22"/>
  <c r="I65" i="22" s="1"/>
  <c r="B66" i="22"/>
  <c r="C66" i="22"/>
  <c r="D66" i="22"/>
  <c r="H66" i="22" s="1"/>
  <c r="I66" i="22" s="1"/>
  <c r="E66" i="22"/>
  <c r="F66" i="22"/>
  <c r="G66" i="22"/>
  <c r="B61" i="22"/>
  <c r="B60" i="22" s="1"/>
  <c r="C61" i="22"/>
  <c r="D61" i="22"/>
  <c r="E61" i="22"/>
  <c r="E60" i="22" s="1"/>
  <c r="F61" i="22"/>
  <c r="F60" i="22"/>
  <c r="G61" i="22"/>
  <c r="G60" i="22" s="1"/>
  <c r="C60" i="22"/>
  <c r="H59" i="22"/>
  <c r="I59" i="22" s="1"/>
  <c r="H58" i="22"/>
  <c r="I58" i="22"/>
  <c r="H57" i="22"/>
  <c r="I57" i="22" s="1"/>
  <c r="H56" i="22"/>
  <c r="I56" i="22"/>
  <c r="B55" i="22"/>
  <c r="C55" i="22"/>
  <c r="D55" i="22"/>
  <c r="E55" i="22"/>
  <c r="F55" i="22"/>
  <c r="G55" i="22"/>
  <c r="H54" i="22"/>
  <c r="I54" i="22"/>
  <c r="H53" i="22"/>
  <c r="I53" i="22" s="1"/>
  <c r="H52" i="22"/>
  <c r="I52" i="22"/>
  <c r="H51" i="22"/>
  <c r="I51" i="22" s="1"/>
  <c r="B50" i="22"/>
  <c r="H50" i="22" s="1"/>
  <c r="I50" i="22" s="1"/>
  <c r="C50" i="22"/>
  <c r="D50" i="22"/>
  <c r="E50" i="22"/>
  <c r="F50" i="22"/>
  <c r="G50" i="22"/>
  <c r="H49" i="22"/>
  <c r="I49" i="22" s="1"/>
  <c r="H48" i="22"/>
  <c r="I48" i="22"/>
  <c r="H47" i="22"/>
  <c r="I47" i="22" s="1"/>
  <c r="H46" i="22"/>
  <c r="I46" i="22"/>
  <c r="H45" i="22"/>
  <c r="I45" i="22" s="1"/>
  <c r="H44" i="22"/>
  <c r="I44" i="22"/>
  <c r="H43" i="22"/>
  <c r="I43" i="22" s="1"/>
  <c r="H42" i="22"/>
  <c r="I42" i="22" s="1"/>
  <c r="H41" i="22"/>
  <c r="I41" i="22" s="1"/>
  <c r="H40" i="22"/>
  <c r="I40" i="22"/>
  <c r="G38" i="22"/>
  <c r="E38" i="22"/>
  <c r="D38" i="22"/>
  <c r="C38" i="22"/>
  <c r="H37" i="22"/>
  <c r="I37" i="22" s="1"/>
  <c r="H36" i="22"/>
  <c r="I36" i="22"/>
  <c r="H34" i="22"/>
  <c r="I34" i="22" s="1"/>
  <c r="H33" i="22"/>
  <c r="I33" i="22"/>
  <c r="H32" i="22"/>
  <c r="I32" i="22" s="1"/>
  <c r="B31" i="22"/>
  <c r="H31" i="22" s="1"/>
  <c r="I31" i="22" s="1"/>
  <c r="C31" i="22"/>
  <c r="D31" i="22"/>
  <c r="E31" i="22"/>
  <c r="F31" i="22"/>
  <c r="G31" i="22"/>
  <c r="H30" i="22"/>
  <c r="I30" i="22" s="1"/>
  <c r="H29" i="22"/>
  <c r="I29" i="22"/>
  <c r="H28" i="22"/>
  <c r="I28" i="22" s="1"/>
  <c r="H27" i="22"/>
  <c r="I27" i="22"/>
  <c r="B26" i="22"/>
  <c r="H26" i="22" s="1"/>
  <c r="I26" i="22" s="1"/>
  <c r="C26" i="22"/>
  <c r="D26" i="22"/>
  <c r="E26" i="22"/>
  <c r="F26" i="22"/>
  <c r="G26" i="22"/>
  <c r="H25" i="22"/>
  <c r="I25" i="22"/>
  <c r="H24" i="22"/>
  <c r="I24" i="22" s="1"/>
  <c r="H23" i="22"/>
  <c r="I23" i="22"/>
  <c r="H22" i="22"/>
  <c r="I22" i="22" s="1"/>
  <c r="B21" i="22"/>
  <c r="H21" i="22" s="1"/>
  <c r="I21" i="22" s="1"/>
  <c r="C21" i="22"/>
  <c r="D21" i="22"/>
  <c r="E21" i="22"/>
  <c r="F21" i="22"/>
  <c r="G21" i="22"/>
  <c r="H20" i="22"/>
  <c r="I20" i="22" s="1"/>
  <c r="H19" i="22"/>
  <c r="I19" i="22"/>
  <c r="H18" i="22"/>
  <c r="I18" i="22" s="1"/>
  <c r="H17" i="22"/>
  <c r="I17" i="22"/>
  <c r="B16" i="22"/>
  <c r="C16" i="22"/>
  <c r="D16" i="22"/>
  <c r="E16" i="22"/>
  <c r="F16" i="22"/>
  <c r="G16" i="22"/>
  <c r="H15" i="22"/>
  <c r="I15" i="22" s="1"/>
  <c r="H13" i="22"/>
  <c r="I13" i="22"/>
  <c r="H12" i="22"/>
  <c r="I12" i="22" s="1"/>
  <c r="H11" i="22"/>
  <c r="I11" i="22"/>
  <c r="B10" i="22"/>
  <c r="H10" i="22" s="1"/>
  <c r="I10" i="22" s="1"/>
  <c r="C10" i="22"/>
  <c r="D10" i="22"/>
  <c r="E10" i="22"/>
  <c r="F10" i="22"/>
  <c r="G10" i="22"/>
  <c r="H9" i="22"/>
  <c r="I9" i="22" s="1"/>
  <c r="H7" i="22"/>
  <c r="I7" i="22"/>
  <c r="H6" i="22"/>
  <c r="I6" i="22" s="1"/>
  <c r="H5" i="22"/>
  <c r="I5" i="22"/>
  <c r="B4" i="22"/>
  <c r="H4" i="22" s="1"/>
  <c r="I4" i="22" s="1"/>
  <c r="C4" i="22"/>
  <c r="D4" i="22"/>
  <c r="E4" i="22"/>
  <c r="F4" i="22"/>
  <c r="G4" i="22"/>
  <c r="H82" i="21"/>
  <c r="I82" i="21" s="1"/>
  <c r="H81" i="21"/>
  <c r="I81" i="21" s="1"/>
  <c r="H80" i="21"/>
  <c r="I80" i="21" s="1"/>
  <c r="H79" i="21"/>
  <c r="I79" i="21" s="1"/>
  <c r="B78" i="21"/>
  <c r="C78" i="21"/>
  <c r="H78" i="21" s="1"/>
  <c r="I78" i="21" s="1"/>
  <c r="D78" i="21"/>
  <c r="E78" i="21"/>
  <c r="F78" i="21"/>
  <c r="G78" i="21"/>
  <c r="H71" i="21"/>
  <c r="I71" i="21" s="1"/>
  <c r="H69" i="21"/>
  <c r="I69" i="21"/>
  <c r="H68" i="21"/>
  <c r="I68" i="21" s="1"/>
  <c r="H67" i="21"/>
  <c r="I67" i="21"/>
  <c r="H62" i="21"/>
  <c r="I62" i="21" s="1"/>
  <c r="H63" i="21"/>
  <c r="I63" i="21" s="1"/>
  <c r="H64" i="21"/>
  <c r="I64" i="21" s="1"/>
  <c r="H65" i="21"/>
  <c r="I65" i="21" s="1"/>
  <c r="B66" i="21"/>
  <c r="C66" i="21"/>
  <c r="H66" i="21" s="1"/>
  <c r="I66" i="21" s="1"/>
  <c r="D66" i="21"/>
  <c r="D60" i="21" s="1"/>
  <c r="E66" i="21"/>
  <c r="F66" i="21"/>
  <c r="G66" i="21"/>
  <c r="B61" i="21"/>
  <c r="B60" i="21" s="1"/>
  <c r="H60" i="21" s="1"/>
  <c r="I60" i="21" s="1"/>
  <c r="C61" i="21"/>
  <c r="D61" i="21"/>
  <c r="E61" i="21"/>
  <c r="E60" i="21" s="1"/>
  <c r="F61" i="21"/>
  <c r="F60" i="21" s="1"/>
  <c r="G61" i="21"/>
  <c r="G60" i="21"/>
  <c r="H59" i="21"/>
  <c r="I59" i="21" s="1"/>
  <c r="H58" i="21"/>
  <c r="I58" i="21" s="1"/>
  <c r="H57" i="21"/>
  <c r="I57" i="21" s="1"/>
  <c r="H56" i="21"/>
  <c r="I56" i="21" s="1"/>
  <c r="B55" i="21"/>
  <c r="C55" i="21"/>
  <c r="H55" i="21" s="1"/>
  <c r="I55" i="21" s="1"/>
  <c r="D55" i="21"/>
  <c r="E55" i="21"/>
  <c r="F55" i="21"/>
  <c r="G55" i="21"/>
  <c r="H54" i="21"/>
  <c r="I54" i="21" s="1"/>
  <c r="H53" i="21"/>
  <c r="I53" i="21"/>
  <c r="H52" i="21"/>
  <c r="I52" i="21" s="1"/>
  <c r="H51" i="21"/>
  <c r="I51" i="21" s="1"/>
  <c r="B50" i="21"/>
  <c r="C50" i="21"/>
  <c r="D50" i="21"/>
  <c r="E50" i="21"/>
  <c r="F50" i="21"/>
  <c r="G50" i="21"/>
  <c r="H49" i="21"/>
  <c r="I49" i="21" s="1"/>
  <c r="H48" i="21"/>
  <c r="I48" i="21" s="1"/>
  <c r="H47" i="21"/>
  <c r="I47" i="21" s="1"/>
  <c r="H46" i="21"/>
  <c r="I46" i="21" s="1"/>
  <c r="H45" i="21"/>
  <c r="I45" i="21"/>
  <c r="H44" i="21"/>
  <c r="I44" i="21" s="1"/>
  <c r="H43" i="21"/>
  <c r="I43" i="21"/>
  <c r="H42" i="21"/>
  <c r="I42" i="21" s="1"/>
  <c r="H41" i="21"/>
  <c r="I41" i="21" s="1"/>
  <c r="H40" i="21"/>
  <c r="I40" i="21" s="1"/>
  <c r="G38" i="21"/>
  <c r="D38" i="21"/>
  <c r="C38" i="21"/>
  <c r="B38" i="21"/>
  <c r="H37" i="21"/>
  <c r="I37" i="21" s="1"/>
  <c r="H36" i="21"/>
  <c r="I36" i="21" s="1"/>
  <c r="H34" i="21"/>
  <c r="I34" i="21" s="1"/>
  <c r="H33" i="21"/>
  <c r="I33" i="21" s="1"/>
  <c r="H32" i="21"/>
  <c r="I32" i="21"/>
  <c r="B31" i="21"/>
  <c r="C31" i="21"/>
  <c r="D31" i="21"/>
  <c r="H31" i="21" s="1"/>
  <c r="I31" i="21" s="1"/>
  <c r="E31" i="21"/>
  <c r="F31" i="21"/>
  <c r="G31" i="21"/>
  <c r="H30" i="21"/>
  <c r="I30" i="21"/>
  <c r="H29" i="21"/>
  <c r="I29" i="21" s="1"/>
  <c r="H28" i="21"/>
  <c r="I28" i="21"/>
  <c r="H27" i="21"/>
  <c r="I27" i="21" s="1"/>
  <c r="B26" i="21"/>
  <c r="C26" i="21"/>
  <c r="D26" i="21"/>
  <c r="E26" i="21"/>
  <c r="F26" i="21"/>
  <c r="G26" i="21"/>
  <c r="H25" i="21"/>
  <c r="I25" i="21" s="1"/>
  <c r="H24" i="21"/>
  <c r="I24" i="21" s="1"/>
  <c r="H23" i="21"/>
  <c r="I23" i="21" s="1"/>
  <c r="H22" i="21"/>
  <c r="I22" i="21"/>
  <c r="B21" i="21"/>
  <c r="C21" i="21"/>
  <c r="D21" i="21"/>
  <c r="H21" i="21" s="1"/>
  <c r="I21" i="21" s="1"/>
  <c r="E21" i="21"/>
  <c r="F21" i="21"/>
  <c r="G21" i="21"/>
  <c r="H20" i="21"/>
  <c r="I20" i="21"/>
  <c r="H19" i="21"/>
  <c r="I19" i="21" s="1"/>
  <c r="H18" i="21"/>
  <c r="I18" i="21"/>
  <c r="H17" i="21"/>
  <c r="I17" i="21" s="1"/>
  <c r="B16" i="21"/>
  <c r="C16" i="21"/>
  <c r="D16" i="21"/>
  <c r="E16" i="21"/>
  <c r="F16" i="21"/>
  <c r="G16" i="21"/>
  <c r="H15" i="21"/>
  <c r="I15" i="21"/>
  <c r="H13" i="21"/>
  <c r="I13" i="21" s="1"/>
  <c r="H12" i="21"/>
  <c r="I12" i="21"/>
  <c r="H11" i="21"/>
  <c r="I11" i="21" s="1"/>
  <c r="B10" i="21"/>
  <c r="C10" i="21"/>
  <c r="D10" i="21"/>
  <c r="E10" i="21"/>
  <c r="F10" i="21"/>
  <c r="G10" i="21"/>
  <c r="H9" i="21"/>
  <c r="I9" i="21"/>
  <c r="H6" i="21"/>
  <c r="I6" i="21" s="1"/>
  <c r="H5" i="21"/>
  <c r="I5" i="21"/>
  <c r="B4" i="21"/>
  <c r="C4" i="21"/>
  <c r="D4" i="21"/>
  <c r="E4" i="21"/>
  <c r="H4" i="21"/>
  <c r="I4" i="21" s="1"/>
  <c r="F4" i="21"/>
  <c r="G4" i="21"/>
  <c r="C39" i="20"/>
  <c r="D39" i="20"/>
  <c r="D38" i="20" s="1"/>
  <c r="E39" i="20"/>
  <c r="E38" i="20" s="1"/>
  <c r="F39" i="20"/>
  <c r="G39" i="20"/>
  <c r="G38" i="20" s="1"/>
  <c r="H82" i="20"/>
  <c r="I82" i="20" s="1"/>
  <c r="H81" i="20"/>
  <c r="I81" i="20" s="1"/>
  <c r="H80" i="20"/>
  <c r="I80" i="20"/>
  <c r="H79" i="20"/>
  <c r="I79" i="20" s="1"/>
  <c r="B78" i="20"/>
  <c r="C78" i="20"/>
  <c r="H78" i="20" s="1"/>
  <c r="I78" i="20" s="1"/>
  <c r="D78" i="20"/>
  <c r="E78" i="20"/>
  <c r="F78" i="20"/>
  <c r="G78" i="20"/>
  <c r="I74" i="20"/>
  <c r="H71" i="20"/>
  <c r="I71" i="20" s="1"/>
  <c r="H69" i="20"/>
  <c r="I69" i="20"/>
  <c r="H68" i="20"/>
  <c r="I68" i="20" s="1"/>
  <c r="H67" i="20"/>
  <c r="I67" i="20" s="1"/>
  <c r="H62" i="20"/>
  <c r="I62" i="20" s="1"/>
  <c r="H63" i="20"/>
  <c r="I63" i="20" s="1"/>
  <c r="H64" i="20"/>
  <c r="I64" i="20" s="1"/>
  <c r="H65" i="20"/>
  <c r="I65" i="20"/>
  <c r="B66" i="20"/>
  <c r="B60" i="20" s="1"/>
  <c r="C66" i="20"/>
  <c r="D66" i="20"/>
  <c r="E66" i="20"/>
  <c r="F66" i="20"/>
  <c r="F60" i="20" s="1"/>
  <c r="G66" i="20"/>
  <c r="B61" i="20"/>
  <c r="C61" i="20"/>
  <c r="C60" i="20" s="1"/>
  <c r="D61" i="20"/>
  <c r="H61" i="20" s="1"/>
  <c r="I61" i="20" s="1"/>
  <c r="E61" i="20"/>
  <c r="E60" i="20" s="1"/>
  <c r="F61" i="20"/>
  <c r="G61" i="20"/>
  <c r="G60" i="20" s="1"/>
  <c r="H59" i="20"/>
  <c r="I59" i="20" s="1"/>
  <c r="H58" i="20"/>
  <c r="I58" i="20" s="1"/>
  <c r="H57" i="20"/>
  <c r="I57" i="20"/>
  <c r="H56" i="20"/>
  <c r="I56" i="20" s="1"/>
  <c r="B55" i="20"/>
  <c r="C55" i="20"/>
  <c r="D55" i="20"/>
  <c r="H55" i="20" s="1"/>
  <c r="I55" i="20" s="1"/>
  <c r="E55" i="20"/>
  <c r="F55" i="20"/>
  <c r="G55" i="20"/>
  <c r="H54" i="20"/>
  <c r="I54" i="20" s="1"/>
  <c r="H53" i="20"/>
  <c r="I53" i="20" s="1"/>
  <c r="H52" i="20"/>
  <c r="I52" i="20" s="1"/>
  <c r="H51" i="20"/>
  <c r="I51" i="20" s="1"/>
  <c r="B50" i="20"/>
  <c r="C50" i="20"/>
  <c r="H50" i="20" s="1"/>
  <c r="I50" i="20" s="1"/>
  <c r="D50" i="20"/>
  <c r="E50" i="20"/>
  <c r="F50" i="20"/>
  <c r="G50" i="20"/>
  <c r="H49" i="20"/>
  <c r="I49" i="20" s="1"/>
  <c r="H48" i="20"/>
  <c r="I48" i="20"/>
  <c r="H47" i="20"/>
  <c r="I47" i="20" s="1"/>
  <c r="H46" i="20"/>
  <c r="I46" i="20"/>
  <c r="H45" i="20"/>
  <c r="I45" i="20" s="1"/>
  <c r="H44" i="20"/>
  <c r="I44" i="20"/>
  <c r="H43" i="20"/>
  <c r="I43" i="20" s="1"/>
  <c r="H42" i="20"/>
  <c r="I42" i="20"/>
  <c r="H41" i="20"/>
  <c r="I41" i="20" s="1"/>
  <c r="H40" i="20"/>
  <c r="I40" i="20"/>
  <c r="B38" i="20"/>
  <c r="H37" i="20"/>
  <c r="I37" i="20" s="1"/>
  <c r="H36" i="20"/>
  <c r="I36" i="20" s="1"/>
  <c r="H34" i="20"/>
  <c r="I34" i="20"/>
  <c r="H33" i="20"/>
  <c r="I33" i="20" s="1"/>
  <c r="H32" i="20"/>
  <c r="I32" i="20"/>
  <c r="B31" i="20"/>
  <c r="H31" i="20" s="1"/>
  <c r="I31" i="20" s="1"/>
  <c r="C31" i="20"/>
  <c r="D31" i="20"/>
  <c r="E31" i="20"/>
  <c r="F31" i="20"/>
  <c r="G31" i="20"/>
  <c r="H30" i="20"/>
  <c r="I30" i="20"/>
  <c r="H29" i="20"/>
  <c r="I29" i="20" s="1"/>
  <c r="H28" i="20"/>
  <c r="I28" i="20" s="1"/>
  <c r="H27" i="20"/>
  <c r="I27" i="20" s="1"/>
  <c r="B26" i="20"/>
  <c r="H26" i="20" s="1"/>
  <c r="I26" i="20" s="1"/>
  <c r="C26" i="20"/>
  <c r="D26" i="20"/>
  <c r="E26" i="20"/>
  <c r="F26" i="20"/>
  <c r="G26" i="20"/>
  <c r="H25" i="20"/>
  <c r="I25" i="20" s="1"/>
  <c r="H24" i="20"/>
  <c r="I24" i="20"/>
  <c r="H23" i="20"/>
  <c r="I23" i="20" s="1"/>
  <c r="H22" i="20"/>
  <c r="I22" i="20"/>
  <c r="B21" i="20"/>
  <c r="C21" i="20"/>
  <c r="D21" i="20"/>
  <c r="E21" i="20"/>
  <c r="F21" i="20"/>
  <c r="G21" i="20"/>
  <c r="H20" i="20"/>
  <c r="I20" i="20"/>
  <c r="H19" i="20"/>
  <c r="I19" i="20" s="1"/>
  <c r="H18" i="20"/>
  <c r="I18" i="20" s="1"/>
  <c r="H17" i="20"/>
  <c r="I17" i="20" s="1"/>
  <c r="B16" i="20"/>
  <c r="H16" i="20" s="1"/>
  <c r="I16" i="20" s="1"/>
  <c r="C16" i="20"/>
  <c r="D16" i="20"/>
  <c r="E16" i="20"/>
  <c r="F16" i="20"/>
  <c r="G16" i="20"/>
  <c r="H15" i="20"/>
  <c r="I15" i="20" s="1"/>
  <c r="H13" i="20"/>
  <c r="I13" i="20"/>
  <c r="H12" i="20"/>
  <c r="I12" i="20" s="1"/>
  <c r="H11" i="20"/>
  <c r="I11" i="20"/>
  <c r="B10" i="20"/>
  <c r="H10" i="20" s="1"/>
  <c r="I10" i="20" s="1"/>
  <c r="C10" i="20"/>
  <c r="D10" i="20"/>
  <c r="E10" i="20"/>
  <c r="F10" i="20"/>
  <c r="G10" i="20"/>
  <c r="H9" i="20"/>
  <c r="I9" i="20"/>
  <c r="H7" i="20"/>
  <c r="I7" i="20" s="1"/>
  <c r="H6" i="20"/>
  <c r="I6" i="20" s="1"/>
  <c r="H5" i="20"/>
  <c r="I5" i="20" s="1"/>
  <c r="B4" i="20"/>
  <c r="C4" i="20"/>
  <c r="D4" i="20"/>
  <c r="E4" i="20"/>
  <c r="F4" i="20"/>
  <c r="G4" i="20"/>
  <c r="C39" i="19"/>
  <c r="D39" i="19"/>
  <c r="E39" i="19"/>
  <c r="E38" i="19" s="1"/>
  <c r="F39" i="19"/>
  <c r="G39" i="19"/>
  <c r="H82" i="19"/>
  <c r="I82" i="19"/>
  <c r="H81" i="19"/>
  <c r="I81" i="19" s="1"/>
  <c r="H80" i="19"/>
  <c r="I80" i="19"/>
  <c r="H79" i="19"/>
  <c r="I79" i="19" s="1"/>
  <c r="B78" i="19"/>
  <c r="C78" i="19"/>
  <c r="D78" i="19"/>
  <c r="E78" i="19"/>
  <c r="F78" i="19"/>
  <c r="G78" i="19"/>
  <c r="I75" i="19"/>
  <c r="I73" i="19"/>
  <c r="H71" i="19"/>
  <c r="I71" i="19"/>
  <c r="H69" i="19"/>
  <c r="I69" i="19" s="1"/>
  <c r="H68" i="19"/>
  <c r="I68" i="19" s="1"/>
  <c r="H67" i="19"/>
  <c r="I67" i="19" s="1"/>
  <c r="H62" i="19"/>
  <c r="I62" i="19" s="1"/>
  <c r="H63" i="19"/>
  <c r="I63" i="19" s="1"/>
  <c r="H64" i="19"/>
  <c r="H65" i="19"/>
  <c r="I65" i="19" s="1"/>
  <c r="B66" i="19"/>
  <c r="C66" i="19"/>
  <c r="D66" i="19"/>
  <c r="E66" i="19"/>
  <c r="F66" i="19"/>
  <c r="G66" i="19"/>
  <c r="I64" i="19"/>
  <c r="B61" i="19"/>
  <c r="B60" i="19" s="1"/>
  <c r="C61" i="19"/>
  <c r="C60" i="19"/>
  <c r="D61" i="19"/>
  <c r="D60" i="19" s="1"/>
  <c r="E61" i="19"/>
  <c r="F61" i="19"/>
  <c r="F60" i="19" s="1"/>
  <c r="G61" i="19"/>
  <c r="G60" i="19" s="1"/>
  <c r="H59" i="19"/>
  <c r="I59" i="19" s="1"/>
  <c r="H58" i="19"/>
  <c r="I58" i="19" s="1"/>
  <c r="H57" i="19"/>
  <c r="I57" i="19"/>
  <c r="H56" i="19"/>
  <c r="I56" i="19" s="1"/>
  <c r="B55" i="19"/>
  <c r="C55" i="19"/>
  <c r="H55" i="19" s="1"/>
  <c r="I55" i="19" s="1"/>
  <c r="D55" i="19"/>
  <c r="E55" i="19"/>
  <c r="F55" i="19"/>
  <c r="G55" i="19"/>
  <c r="H54" i="19"/>
  <c r="I54" i="19" s="1"/>
  <c r="H53" i="19"/>
  <c r="I53" i="19"/>
  <c r="H52" i="19"/>
  <c r="I52" i="19" s="1"/>
  <c r="H51" i="19"/>
  <c r="I51" i="19" s="1"/>
  <c r="B50" i="19"/>
  <c r="C50" i="19"/>
  <c r="D50" i="19"/>
  <c r="H50" i="19" s="1"/>
  <c r="I50" i="19" s="1"/>
  <c r="E50" i="19"/>
  <c r="F50" i="19"/>
  <c r="G50" i="19"/>
  <c r="H49" i="19"/>
  <c r="I49" i="19" s="1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G38" i="19"/>
  <c r="C38" i="19"/>
  <c r="H37" i="19"/>
  <c r="I37" i="19" s="1"/>
  <c r="H36" i="19"/>
  <c r="I36" i="19" s="1"/>
  <c r="H34" i="19"/>
  <c r="I34" i="19" s="1"/>
  <c r="H33" i="19"/>
  <c r="I33" i="19" s="1"/>
  <c r="H32" i="19"/>
  <c r="I32" i="19" s="1"/>
  <c r="B31" i="19"/>
  <c r="C31" i="19"/>
  <c r="D31" i="19"/>
  <c r="E31" i="19"/>
  <c r="F31" i="19"/>
  <c r="G31" i="19"/>
  <c r="H30" i="19"/>
  <c r="I30" i="19" s="1"/>
  <c r="H29" i="19"/>
  <c r="I29" i="19" s="1"/>
  <c r="H28" i="19"/>
  <c r="I28" i="19" s="1"/>
  <c r="H27" i="19"/>
  <c r="I27" i="19"/>
  <c r="B26" i="19"/>
  <c r="C26" i="19"/>
  <c r="D26" i="19"/>
  <c r="H26" i="19" s="1"/>
  <c r="I26" i="19" s="1"/>
  <c r="E26" i="19"/>
  <c r="F26" i="19"/>
  <c r="G26" i="19"/>
  <c r="H25" i="19"/>
  <c r="I25" i="19"/>
  <c r="H24" i="19"/>
  <c r="I24" i="19" s="1"/>
  <c r="H23" i="19"/>
  <c r="I23" i="19"/>
  <c r="H22" i="19"/>
  <c r="I22" i="19" s="1"/>
  <c r="B21" i="19"/>
  <c r="C21" i="19"/>
  <c r="D21" i="19"/>
  <c r="E21" i="19"/>
  <c r="F21" i="19"/>
  <c r="G21" i="19"/>
  <c r="H20" i="19"/>
  <c r="I20" i="19"/>
  <c r="H19" i="19"/>
  <c r="I19" i="19" s="1"/>
  <c r="H18" i="19"/>
  <c r="I18" i="19"/>
  <c r="H17" i="19"/>
  <c r="I17" i="19" s="1"/>
  <c r="B16" i="19"/>
  <c r="C16" i="19"/>
  <c r="D16" i="19"/>
  <c r="E16" i="19"/>
  <c r="H16" i="19" s="1"/>
  <c r="I16" i="19" s="1"/>
  <c r="F16" i="19"/>
  <c r="G16" i="19"/>
  <c r="H15" i="19"/>
  <c r="I15" i="19" s="1"/>
  <c r="H13" i="19"/>
  <c r="I13" i="19" s="1"/>
  <c r="H12" i="19"/>
  <c r="I12" i="19" s="1"/>
  <c r="H11" i="19"/>
  <c r="I11" i="19"/>
  <c r="B10" i="19"/>
  <c r="C10" i="19"/>
  <c r="D10" i="19"/>
  <c r="E10" i="19"/>
  <c r="F10" i="19"/>
  <c r="G10" i="19"/>
  <c r="H9" i="19"/>
  <c r="I9" i="19" s="1"/>
  <c r="H7" i="19"/>
  <c r="I7" i="19" s="1"/>
  <c r="H6" i="19"/>
  <c r="I6" i="19" s="1"/>
  <c r="H5" i="19"/>
  <c r="I5" i="19"/>
  <c r="B4" i="19"/>
  <c r="H4" i="19" s="1"/>
  <c r="I4" i="19" s="1"/>
  <c r="C4" i="19"/>
  <c r="D4" i="19"/>
  <c r="E4" i="19"/>
  <c r="F4" i="19"/>
  <c r="G4" i="19"/>
  <c r="H61" i="18"/>
  <c r="H66" i="18"/>
  <c r="I66" i="18" s="1"/>
  <c r="H62" i="18"/>
  <c r="H67" i="18"/>
  <c r="H63" i="18"/>
  <c r="I63" i="18" s="1"/>
  <c r="H68" i="18"/>
  <c r="I68" i="18" s="1"/>
  <c r="H64" i="18"/>
  <c r="H70" i="18"/>
  <c r="G38" i="18"/>
  <c r="F38" i="18"/>
  <c r="E38" i="18"/>
  <c r="D38" i="18"/>
  <c r="C38" i="18"/>
  <c r="H38" i="18" s="1"/>
  <c r="B38" i="18"/>
  <c r="G60" i="18"/>
  <c r="G65" i="18"/>
  <c r="F60" i="18"/>
  <c r="F59" i="18" s="1"/>
  <c r="F65" i="18"/>
  <c r="E60" i="18"/>
  <c r="E65" i="18"/>
  <c r="E59" i="18" s="1"/>
  <c r="D60" i="18"/>
  <c r="D59" i="18" s="1"/>
  <c r="D65" i="18"/>
  <c r="C60" i="18"/>
  <c r="C59" i="18" s="1"/>
  <c r="C65" i="18"/>
  <c r="B60" i="18"/>
  <c r="B65" i="18"/>
  <c r="H65" i="18" s="1"/>
  <c r="I65" i="18" s="1"/>
  <c r="H57" i="18"/>
  <c r="I57" i="18" s="1"/>
  <c r="H56" i="18"/>
  <c r="I56" i="18" s="1"/>
  <c r="H55" i="18"/>
  <c r="I55" i="18"/>
  <c r="H52" i="18"/>
  <c r="I52" i="18" s="1"/>
  <c r="G49" i="18"/>
  <c r="F49" i="18"/>
  <c r="E49" i="18"/>
  <c r="D49" i="18"/>
  <c r="C49" i="18"/>
  <c r="B49" i="18"/>
  <c r="H49" i="18" s="1"/>
  <c r="I49" i="18" s="1"/>
  <c r="G54" i="18"/>
  <c r="F54" i="18"/>
  <c r="E54" i="18"/>
  <c r="D54" i="18"/>
  <c r="C54" i="18"/>
  <c r="B54" i="18"/>
  <c r="G30" i="18"/>
  <c r="F30" i="18"/>
  <c r="E30" i="18"/>
  <c r="D30" i="18"/>
  <c r="C30" i="18"/>
  <c r="B30" i="18"/>
  <c r="H30" i="18" s="1"/>
  <c r="I30" i="18" s="1"/>
  <c r="G25" i="18"/>
  <c r="F25" i="18"/>
  <c r="E25" i="18"/>
  <c r="D25" i="18"/>
  <c r="C25" i="18"/>
  <c r="H25" i="18" s="1"/>
  <c r="I25" i="18" s="1"/>
  <c r="B25" i="18"/>
  <c r="G20" i="18"/>
  <c r="F20" i="18"/>
  <c r="E20" i="18"/>
  <c r="D20" i="18"/>
  <c r="C20" i="18"/>
  <c r="B20" i="18"/>
  <c r="G15" i="18"/>
  <c r="F15" i="18"/>
  <c r="E15" i="18"/>
  <c r="D15" i="18"/>
  <c r="C15" i="18"/>
  <c r="B15" i="18"/>
  <c r="G10" i="18"/>
  <c r="F10" i="18"/>
  <c r="E10" i="18"/>
  <c r="D10" i="18"/>
  <c r="C10" i="18"/>
  <c r="B10" i="18"/>
  <c r="G4" i="18"/>
  <c r="F4" i="18"/>
  <c r="E4" i="18"/>
  <c r="D4" i="18"/>
  <c r="C4" i="18"/>
  <c r="B4" i="18"/>
  <c r="H4" i="18" s="1"/>
  <c r="I4" i="18" s="1"/>
  <c r="I70" i="18"/>
  <c r="H9" i="18"/>
  <c r="I9" i="18" s="1"/>
  <c r="H44" i="18"/>
  <c r="I44" i="18" s="1"/>
  <c r="H45" i="18"/>
  <c r="I45" i="18" s="1"/>
  <c r="H46" i="18"/>
  <c r="I46" i="18" s="1"/>
  <c r="E37" i="18"/>
  <c r="D37" i="18"/>
  <c r="H81" i="18"/>
  <c r="I81" i="18" s="1"/>
  <c r="H80" i="18"/>
  <c r="I80" i="18" s="1"/>
  <c r="H79" i="18"/>
  <c r="I79" i="18" s="1"/>
  <c r="H78" i="18"/>
  <c r="I78" i="18" s="1"/>
  <c r="B77" i="18"/>
  <c r="C77" i="18"/>
  <c r="H77" i="18" s="1"/>
  <c r="I77" i="18" s="1"/>
  <c r="D77" i="18"/>
  <c r="E77" i="18"/>
  <c r="F77" i="18"/>
  <c r="G77" i="18"/>
  <c r="I74" i="18"/>
  <c r="I76" i="18"/>
  <c r="I73" i="18"/>
  <c r="I67" i="18"/>
  <c r="I64" i="18"/>
  <c r="I62" i="18"/>
  <c r="I61" i="18"/>
  <c r="H58" i="18"/>
  <c r="I58" i="18" s="1"/>
  <c r="H53" i="18"/>
  <c r="I53" i="18"/>
  <c r="H51" i="18"/>
  <c r="I51" i="18" s="1"/>
  <c r="H50" i="18"/>
  <c r="I50" i="18" s="1"/>
  <c r="H48" i="18"/>
  <c r="I48" i="18" s="1"/>
  <c r="H47" i="18"/>
  <c r="I47" i="18" s="1"/>
  <c r="H43" i="18"/>
  <c r="I43" i="18"/>
  <c r="H42" i="18"/>
  <c r="I42" i="18" s="1"/>
  <c r="H41" i="18"/>
  <c r="I41" i="18"/>
  <c r="H40" i="18"/>
  <c r="I40" i="18" s="1"/>
  <c r="H39" i="18"/>
  <c r="I39" i="18" s="1"/>
  <c r="H36" i="18"/>
  <c r="I36" i="18" s="1"/>
  <c r="H35" i="18"/>
  <c r="I35" i="18" s="1"/>
  <c r="H33" i="18"/>
  <c r="I33" i="18" s="1"/>
  <c r="H32" i="18"/>
  <c r="I32" i="18"/>
  <c r="H31" i="18"/>
  <c r="I31" i="18" s="1"/>
  <c r="H29" i="18"/>
  <c r="I29" i="18"/>
  <c r="H28" i="18"/>
  <c r="I28" i="18" s="1"/>
  <c r="H27" i="18"/>
  <c r="I27" i="18" s="1"/>
  <c r="H26" i="18"/>
  <c r="I26" i="18" s="1"/>
  <c r="H24" i="18"/>
  <c r="I24" i="18" s="1"/>
  <c r="H23" i="18"/>
  <c r="I23" i="18" s="1"/>
  <c r="H22" i="18"/>
  <c r="I22" i="18"/>
  <c r="H21" i="18"/>
  <c r="I21" i="18" s="1"/>
  <c r="H19" i="18"/>
  <c r="I19" i="18"/>
  <c r="H18" i="18"/>
  <c r="I18" i="18" s="1"/>
  <c r="H17" i="18"/>
  <c r="I17" i="18" s="1"/>
  <c r="H16" i="18"/>
  <c r="I16" i="18" s="1"/>
  <c r="H14" i="18"/>
  <c r="I14" i="18" s="1"/>
  <c r="H13" i="18"/>
  <c r="I13" i="18" s="1"/>
  <c r="H12" i="18"/>
  <c r="I12" i="18"/>
  <c r="H11" i="18"/>
  <c r="I11" i="18" s="1"/>
  <c r="H7" i="18"/>
  <c r="I7" i="18"/>
  <c r="H6" i="18"/>
  <c r="I6" i="18" s="1"/>
  <c r="H5" i="18"/>
  <c r="I5" i="18" s="1"/>
  <c r="F38" i="19"/>
  <c r="F37" i="18"/>
  <c r="G37" i="18"/>
  <c r="D38" i="19"/>
  <c r="H26" i="21"/>
  <c r="I26" i="21" s="1"/>
  <c r="H66" i="19"/>
  <c r="I66" i="19" s="1"/>
  <c r="H39" i="20"/>
  <c r="H38" i="20" s="1"/>
  <c r="I38" i="20" s="1"/>
  <c r="F38" i="20"/>
  <c r="H4" i="24"/>
  <c r="I4" i="24" s="1"/>
  <c r="H66" i="20"/>
  <c r="I66" i="20" s="1"/>
  <c r="H56" i="23"/>
  <c r="I56" i="23" s="1"/>
  <c r="F35" i="24"/>
  <c r="I14" i="20"/>
  <c r="H52" i="24"/>
  <c r="I52" i="24" s="1"/>
  <c r="H66" i="25"/>
  <c r="I66" i="25" s="1"/>
  <c r="C60" i="21"/>
  <c r="H61" i="21"/>
  <c r="I61" i="21" s="1"/>
  <c r="C38" i="20"/>
  <c r="H39" i="19"/>
  <c r="I39" i="19" s="1"/>
  <c r="B37" i="18"/>
  <c r="H4" i="20"/>
  <c r="I4" i="20" s="1"/>
  <c r="H21" i="20"/>
  <c r="I21" i="20" s="1"/>
  <c r="H55" i="22"/>
  <c r="I55" i="22" s="1"/>
  <c r="H60" i="18"/>
  <c r="I60" i="18" s="1"/>
  <c r="H72" i="22"/>
  <c r="I72" i="22" s="1"/>
  <c r="C35" i="24"/>
  <c r="H61" i="22"/>
  <c r="I61" i="22" s="1"/>
  <c r="H50" i="21"/>
  <c r="I50" i="21" s="1"/>
  <c r="I14" i="21"/>
  <c r="I13" i="24"/>
  <c r="H38" i="19"/>
  <c r="I38" i="19" s="1"/>
  <c r="H35" i="27" l="1"/>
  <c r="I35" i="27" s="1"/>
  <c r="I36" i="27"/>
  <c r="H9" i="27"/>
  <c r="I9" i="27" s="1"/>
  <c r="B35" i="27"/>
  <c r="H35" i="26"/>
  <c r="I35" i="26" s="1"/>
  <c r="I36" i="26"/>
  <c r="H4" i="26"/>
  <c r="I4" i="26" s="1"/>
  <c r="H14" i="26"/>
  <c r="I14" i="26" s="1"/>
  <c r="H19" i="26"/>
  <c r="I19" i="26" s="1"/>
  <c r="I36" i="25"/>
  <c r="H35" i="25"/>
  <c r="I35" i="25" s="1"/>
  <c r="E35" i="25"/>
  <c r="H14" i="25"/>
  <c r="I14" i="25" s="1"/>
  <c r="H52" i="25"/>
  <c r="I52" i="25" s="1"/>
  <c r="H24" i="24"/>
  <c r="I24" i="24" s="1"/>
  <c r="H36" i="24"/>
  <c r="H35" i="23"/>
  <c r="I35" i="23" s="1"/>
  <c r="I36" i="23"/>
  <c r="H14" i="23"/>
  <c r="I14" i="23" s="1"/>
  <c r="H19" i="23"/>
  <c r="I19" i="23" s="1"/>
  <c r="I39" i="22"/>
  <c r="H38" i="22"/>
  <c r="I38" i="22" s="1"/>
  <c r="H60" i="22"/>
  <c r="I60" i="22" s="1"/>
  <c r="H16" i="22"/>
  <c r="I16" i="22" s="1"/>
  <c r="D60" i="22"/>
  <c r="B38" i="22"/>
  <c r="I39" i="21"/>
  <c r="H38" i="21"/>
  <c r="I38" i="21" s="1"/>
  <c r="E38" i="21"/>
  <c r="H72" i="21"/>
  <c r="I72" i="21" s="1"/>
  <c r="D60" i="20"/>
  <c r="H60" i="20" s="1"/>
  <c r="I60" i="20" s="1"/>
  <c r="I39" i="20"/>
  <c r="H31" i="19"/>
  <c r="I31" i="19" s="1"/>
  <c r="H78" i="19"/>
  <c r="I78" i="19" s="1"/>
  <c r="H61" i="19"/>
  <c r="I61" i="19" s="1"/>
  <c r="H21" i="19"/>
  <c r="I21" i="19" s="1"/>
  <c r="H10" i="19"/>
  <c r="I10" i="19" s="1"/>
  <c r="E60" i="19"/>
  <c r="H37" i="18"/>
  <c r="I37" i="18" s="1"/>
  <c r="I38" i="18"/>
  <c r="H10" i="18"/>
  <c r="I10" i="18" s="1"/>
  <c r="H20" i="18"/>
  <c r="I20" i="18" s="1"/>
  <c r="C37" i="18"/>
  <c r="G59" i="18"/>
  <c r="H71" i="18"/>
  <c r="I71" i="18" s="1"/>
  <c r="H15" i="18"/>
  <c r="I15" i="18" s="1"/>
  <c r="H54" i="18"/>
  <c r="I54" i="18" s="1"/>
  <c r="B59" i="18"/>
  <c r="H47" i="31"/>
  <c r="I47" i="31" s="1"/>
  <c r="H36" i="29"/>
  <c r="B35" i="32"/>
  <c r="C35" i="32"/>
  <c r="G35" i="32"/>
  <c r="E35" i="32"/>
  <c r="H24" i="32"/>
  <c r="I24" i="32" s="1"/>
  <c r="H19" i="32"/>
  <c r="I19" i="32" s="1"/>
  <c r="H64" i="32"/>
  <c r="I64" i="32" s="1"/>
  <c r="H59" i="32"/>
  <c r="I59" i="32" s="1"/>
  <c r="H54" i="32"/>
  <c r="I54" i="32" s="1"/>
  <c r="H47" i="32"/>
  <c r="I47" i="32" s="1"/>
  <c r="H29" i="32"/>
  <c r="I29" i="32" s="1"/>
  <c r="H14" i="32"/>
  <c r="I14" i="32" s="1"/>
  <c r="H9" i="32"/>
  <c r="I9" i="32" s="1"/>
  <c r="H4" i="32"/>
  <c r="I4" i="32" s="1"/>
  <c r="H59" i="31"/>
  <c r="I59" i="31" s="1"/>
  <c r="H54" i="31"/>
  <c r="I54" i="31" s="1"/>
  <c r="H29" i="31"/>
  <c r="I29" i="31" s="1"/>
  <c r="H24" i="31"/>
  <c r="I24" i="31" s="1"/>
  <c r="H19" i="31"/>
  <c r="I19" i="31" s="1"/>
  <c r="H14" i="31"/>
  <c r="I14" i="31" s="1"/>
  <c r="H9" i="31"/>
  <c r="I9" i="31" s="1"/>
  <c r="H4" i="31"/>
  <c r="I4" i="31" s="1"/>
  <c r="H59" i="30"/>
  <c r="I59" i="30" s="1"/>
  <c r="H24" i="30"/>
  <c r="I24" i="30" s="1"/>
  <c r="H14" i="30"/>
  <c r="I14" i="30" s="1"/>
  <c r="H4" i="30"/>
  <c r="I4" i="30" s="1"/>
  <c r="H64" i="30"/>
  <c r="I64" i="30" s="1"/>
  <c r="H54" i="30"/>
  <c r="I54" i="30" s="1"/>
  <c r="H47" i="30"/>
  <c r="I47" i="30" s="1"/>
  <c r="H29" i="30"/>
  <c r="I29" i="30" s="1"/>
  <c r="H19" i="30"/>
  <c r="I19" i="30" s="1"/>
  <c r="H9" i="30"/>
  <c r="I9" i="30" s="1"/>
  <c r="D35" i="32"/>
  <c r="H36" i="32"/>
  <c r="I36" i="32" s="1"/>
  <c r="H36" i="31"/>
  <c r="I36" i="31" s="1"/>
  <c r="H36" i="30"/>
  <c r="I36" i="30" s="1"/>
  <c r="H64" i="29"/>
  <c r="I64" i="29" s="1"/>
  <c r="H59" i="29"/>
  <c r="I59" i="29" s="1"/>
  <c r="H54" i="29"/>
  <c r="I54" i="29" s="1"/>
  <c r="H52" i="29"/>
  <c r="I52" i="29" s="1"/>
  <c r="H47" i="29"/>
  <c r="I47" i="29" s="1"/>
  <c r="H29" i="29"/>
  <c r="I29" i="29" s="1"/>
  <c r="H24" i="29"/>
  <c r="I24" i="29" s="1"/>
  <c r="H19" i="29"/>
  <c r="I19" i="29" s="1"/>
  <c r="H14" i="29"/>
  <c r="I14" i="29" s="1"/>
  <c r="H9" i="29"/>
  <c r="I9" i="29" s="1"/>
  <c r="H4" i="29"/>
  <c r="I4" i="29" s="1"/>
  <c r="H60" i="19"/>
  <c r="I60" i="19" s="1"/>
  <c r="H59" i="18"/>
  <c r="I59" i="18" s="1"/>
  <c r="H16" i="21"/>
  <c r="I16" i="21" s="1"/>
  <c r="H10" i="21"/>
  <c r="I10" i="21" s="1"/>
  <c r="D35" i="25"/>
  <c r="H35" i="29" l="1"/>
  <c r="I35" i="29" s="1"/>
  <c r="I36" i="29"/>
  <c r="I36" i="24"/>
  <c r="H35" i="24"/>
  <c r="I35" i="24" s="1"/>
  <c r="H35" i="32"/>
  <c r="I35" i="32" s="1"/>
  <c r="H35" i="31"/>
  <c r="I35" i="31" s="1"/>
  <c r="H35" i="30"/>
  <c r="I35" i="30" s="1"/>
  <c r="I13" i="23"/>
</calcChain>
</file>

<file path=xl/sharedStrings.xml><?xml version="1.0" encoding="utf-8"?>
<sst xmlns="http://schemas.openxmlformats.org/spreadsheetml/2006/main" count="1217" uniqueCount="82">
  <si>
    <t>Total</t>
  </si>
  <si>
    <t xml:space="preserve">          Unintentional</t>
  </si>
  <si>
    <t xml:space="preserve">          Undetermined</t>
  </si>
  <si>
    <t>Rate/</t>
  </si>
  <si>
    <t>45-64</t>
  </si>
  <si>
    <t>65-74</t>
  </si>
  <si>
    <t>75+</t>
  </si>
  <si>
    <t>25-44</t>
  </si>
  <si>
    <t>0-17</t>
  </si>
  <si>
    <t>18-24</t>
  </si>
  <si>
    <t>Age Group (yrs)</t>
  </si>
  <si>
    <t>Overexertion (Unintent)</t>
  </si>
  <si>
    <t>Machinery (Unintent)</t>
  </si>
  <si>
    <t>Source:  Emergency Dept. Data, Agency for Health Care Administration</t>
  </si>
  <si>
    <t xml:space="preserve">* Medical records must contain an External Cause of Injury Code (E-Code) to determine the mechanism and intent of the injury. </t>
  </si>
  <si>
    <t xml:space="preserve">   ED records were E-coded at a 98% rate in 2006</t>
  </si>
  <si>
    <t xml:space="preserve">   ED records were E-coded at a 97% rate in 2005</t>
  </si>
  <si>
    <t xml:space="preserve">     Unintentional</t>
  </si>
  <si>
    <t xml:space="preserve">     Self-Inflicted</t>
  </si>
  <si>
    <t xml:space="preserve">     Assault</t>
  </si>
  <si>
    <t xml:space="preserve">     Undetermined</t>
  </si>
  <si>
    <t xml:space="preserve">     Undetermined </t>
  </si>
  <si>
    <t xml:space="preserve">          Self-Inflicted</t>
  </si>
  <si>
    <t xml:space="preserve">          Assault</t>
  </si>
  <si>
    <t xml:space="preserve">          MV-Occupant</t>
  </si>
  <si>
    <t xml:space="preserve">          MV-Motorcyclist</t>
  </si>
  <si>
    <t xml:space="preserve">          MV-Pedal Cyclist</t>
  </si>
  <si>
    <t xml:space="preserve">          MV-Pedestrian</t>
  </si>
  <si>
    <t xml:space="preserve">          MV-Unspecified</t>
  </si>
  <si>
    <t xml:space="preserve">      All Other Environmental (Undetermined)</t>
  </si>
  <si>
    <t xml:space="preserve">      Injured by Animal (Unintentional)</t>
  </si>
  <si>
    <t xml:space="preserve">      All Other Environmental (Unintentional)</t>
  </si>
  <si>
    <t>Pedal Cyclist-Non-MV (Unintent)</t>
  </si>
  <si>
    <t>Pedestrian-Non-MV (Unintent)</t>
  </si>
  <si>
    <t xml:space="preserve">   ED records were E-coded at a 98% rate in 2007</t>
  </si>
  <si>
    <t xml:space="preserve">   ED records were E-coded at a 98% rate in 2008</t>
  </si>
  <si>
    <t xml:space="preserve">   ED records were E-coded at a 97% rate in 2009</t>
  </si>
  <si>
    <t xml:space="preserve">Cause of Injury </t>
  </si>
  <si>
    <t xml:space="preserve">     Legal Intervention</t>
  </si>
  <si>
    <t xml:space="preserve">          Legal Intervention</t>
  </si>
  <si>
    <t xml:space="preserve">     Not E-Coded</t>
  </si>
  <si>
    <t>Suffocation</t>
  </si>
  <si>
    <t xml:space="preserve">Struck By/Against </t>
  </si>
  <si>
    <t xml:space="preserve">      All Other Poisonings </t>
  </si>
  <si>
    <t xml:space="preserve">     Drugs, Medicinals </t>
  </si>
  <si>
    <t xml:space="preserve">Poisoning </t>
  </si>
  <si>
    <t xml:space="preserve">Natural/Environmental </t>
  </si>
  <si>
    <t xml:space="preserve">Other Transport </t>
  </si>
  <si>
    <t>Cut/Pierce</t>
  </si>
  <si>
    <t xml:space="preserve">Falls </t>
  </si>
  <si>
    <t xml:space="preserve">Fire/Flames </t>
  </si>
  <si>
    <t>Hot Object/Substance</t>
  </si>
  <si>
    <t xml:space="preserve">Firearm </t>
  </si>
  <si>
    <t>Motor Vehicle-Traffic</t>
  </si>
  <si>
    <t xml:space="preserve">Motor Vehicle-Traffic </t>
  </si>
  <si>
    <t xml:space="preserve">Hot Object/Substance </t>
  </si>
  <si>
    <t xml:space="preserve">Cut/Pierce </t>
  </si>
  <si>
    <t xml:space="preserve">Suffocation </t>
  </si>
  <si>
    <t xml:space="preserve">     Undetermined/Other</t>
  </si>
  <si>
    <t xml:space="preserve">          Undetermined/Other</t>
  </si>
  <si>
    <t xml:space="preserve">Drowning </t>
  </si>
  <si>
    <t>Drowning</t>
  </si>
  <si>
    <t>Population</t>
  </si>
  <si>
    <t>* In October 2015 the ICD changed from ICD-9 to ICD 10, some values may be missing. Use caution when interpreting data.</t>
  </si>
  <si>
    <t xml:space="preserve">2005 SELECT NONFATAL EMERGENCY DEPT. INJURY RATES, MIAMI-DADE COUNTY RESIDENTS </t>
  </si>
  <si>
    <t xml:space="preserve">2006 SELECT NONFATAL EMERGENCY DEPT. INJURY RATES, MIAMI-DADE COUNTY RESIDENTS </t>
  </si>
  <si>
    <t xml:space="preserve">2007 SELECT NONFATAL EMERGENCY DEPT. INJURY RATES, MIAMI-DADE COUNTY RESIDENTS </t>
  </si>
  <si>
    <t xml:space="preserve">2008 SELECT NONFATAL EMERGENCY DEPT. INJURY RATES, MIAMI-DADE COUNTY RESIDENTS </t>
  </si>
  <si>
    <t xml:space="preserve">2009 SELECT NONFATAL EMERGENCY DEPT. INJURY RATES, MIAMI-DADE COUNTY RESIDENTS </t>
  </si>
  <si>
    <t xml:space="preserve">2010 SELECT NONFATAL EMERGENCY DEPT. INJURY RATES, MIAMI-DADE COUNTY RESIDENTS </t>
  </si>
  <si>
    <t xml:space="preserve">2011 SELECT NONFATAL EMERGENCY DEPT. INJURY RATES, MIAMI-DADE COUNTY RESIDENTS </t>
  </si>
  <si>
    <t xml:space="preserve">2012 SELECT NONFATAL EMERGENCY DEPT. INJURY RATES, MIAMI-DADE COUNTY RESIDENTS </t>
  </si>
  <si>
    <t xml:space="preserve">2013 SELECT NONFATAL EMERGENCY DEPT. INJURY RATES, MIAMI-DADE COUNTY RESIDENTS </t>
  </si>
  <si>
    <t xml:space="preserve">2014 SELECT NONFATAL EMERGENCY DEPT. INJURY RATES, MIAMI-DADE COUNTY RESIDENTS </t>
  </si>
  <si>
    <t xml:space="preserve">2015 SELECT NONFATAL EMERGENCY DEPT. INJURY RATES, MIAMI-DADE COUNTY RESIDENTS </t>
  </si>
  <si>
    <t xml:space="preserve">2016 SELECT NONFATAL EMERGENCY DEPT. INJURY RATES, MIAMI-DADE COUNTY RESIDENTS </t>
  </si>
  <si>
    <t xml:space="preserve">2017 SELECT NONFATAL EMERGENCY DEPT. INJURY RATES, MIAMI-DADE COUNTY RESIDENTS </t>
  </si>
  <si>
    <t xml:space="preserve">2018 SELECT NONFATAL EMERGENCY DEPT. INJURY RATES, MIAMI-DADE COUNTY RESIDENTS </t>
  </si>
  <si>
    <t>Note: as of October 2015 Natural/ Environmental, Other does not include Animal Bites</t>
  </si>
  <si>
    <t xml:space="preserve">Natural/Environmental, Other </t>
  </si>
  <si>
    <t>*</t>
  </si>
  <si>
    <t>Note:  Rates in Column I based on fewer than 20 are highlighted in red to indicate that these rates are unstable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</si>
</sst>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#,##0.0"/>
  </numFmts>
  <fonts count="25" x14ac:knownFonts="1">
    <font>
      <sz val="11"/>
      <name val="Tms Rm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sz val="13"/>
      <name val="Tms Rmn"/>
      <family val="1"/>
    </font>
    <font>
      <b/>
      <sz val="15"/>
      <name val="Arial"/>
      <family val="2"/>
    </font>
    <font>
      <sz val="11"/>
      <name val="Tms Rmn"/>
      <family val="1"/>
    </font>
    <font>
      <sz val="13"/>
      <name val="Arial"/>
      <family val="2"/>
    </font>
    <font>
      <b/>
      <sz val="13"/>
      <name val="Tms Rmn"/>
      <family val="1"/>
    </font>
    <font>
      <sz val="8"/>
      <name val="Tms Rmn"/>
      <family val="1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1"/>
      <name val="Tms Rmn"/>
      <family val="1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 applyFill="0"/>
  </cellStyleXfs>
  <cellXfs count="214"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5" fontId="1" fillId="0" borderId="0" xfId="0" applyNumberFormat="1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3" borderId="0" xfId="0" applyFont="1" applyFill="1"/>
    <xf numFmtId="1" fontId="1" fillId="0" borderId="0" xfId="0" applyNumberFormat="1" applyFont="1" applyFill="1" applyProtection="1">
      <protection locked="0"/>
    </xf>
    <xf numFmtId="2" fontId="1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1" fillId="3" borderId="0" xfId="0" applyNumberFormat="1" applyFont="1" applyFill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/>
    <xf numFmtId="0" fontId="8" fillId="3" borderId="0" xfId="0" applyFont="1" applyFill="1" applyBorder="1"/>
    <xf numFmtId="2" fontId="8" fillId="0" borderId="0" xfId="0" applyNumberFormat="1" applyFont="1" applyFill="1"/>
    <xf numFmtId="3" fontId="2" fillId="0" borderId="0" xfId="0" applyNumberFormat="1" applyFont="1" applyFill="1" applyBorder="1" applyAlignment="1"/>
    <xf numFmtId="0" fontId="3" fillId="0" borderId="0" xfId="0" applyFont="1" applyFill="1"/>
    <xf numFmtId="3" fontId="9" fillId="0" borderId="2" xfId="0" applyNumberFormat="1" applyFont="1" applyFill="1" applyBorder="1" applyAlignment="1" applyProtection="1">
      <alignment horizontal="right"/>
    </xf>
    <xf numFmtId="0" fontId="9" fillId="0" borderId="3" xfId="0" applyFont="1" applyFill="1" applyBorder="1"/>
    <xf numFmtId="3" fontId="9" fillId="0" borderId="4" xfId="0" applyNumberFormat="1" applyFont="1" applyFill="1" applyBorder="1" applyAlignment="1" applyProtection="1">
      <alignment horizontal="right"/>
    </xf>
    <xf numFmtId="3" fontId="9" fillId="0" borderId="5" xfId="0" applyNumberFormat="1" applyFont="1" applyFill="1" applyBorder="1" applyAlignment="1" applyProtection="1">
      <alignment horizontal="right"/>
    </xf>
    <xf numFmtId="3" fontId="9" fillId="0" borderId="6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9" fillId="0" borderId="7" xfId="0" applyFont="1" applyFill="1" applyBorder="1"/>
    <xf numFmtId="3" fontId="9" fillId="0" borderId="8" xfId="0" applyNumberFormat="1" applyFont="1" applyFill="1" applyBorder="1" applyAlignment="1" applyProtection="1">
      <alignment horizontal="right"/>
      <protection locked="0"/>
    </xf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3" fontId="9" fillId="0" borderId="11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3" fontId="9" fillId="0" borderId="13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9" fillId="0" borderId="15" xfId="0" applyNumberFormat="1" applyFont="1" applyFill="1" applyBorder="1" applyAlignment="1" applyProtection="1">
      <alignment horizontal="right"/>
    </xf>
    <xf numFmtId="3" fontId="9" fillId="0" borderId="16" xfId="0" applyNumberFormat="1" applyFont="1" applyFill="1" applyBorder="1" applyAlignment="1" applyProtection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/>
    </xf>
    <xf numFmtId="3" fontId="9" fillId="0" borderId="19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 applyProtection="1">
      <alignment horizontal="right"/>
    </xf>
    <xf numFmtId="3" fontId="9" fillId="0" borderId="20" xfId="0" applyNumberFormat="1" applyFont="1" applyFill="1" applyBorder="1" applyAlignment="1" applyProtection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9" fillId="4" borderId="12" xfId="0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right"/>
    </xf>
    <xf numFmtId="49" fontId="9" fillId="4" borderId="23" xfId="0" applyNumberFormat="1" applyFont="1" applyFill="1" applyBorder="1" applyAlignment="1">
      <alignment horizontal="right"/>
    </xf>
    <xf numFmtId="49" fontId="9" fillId="4" borderId="24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9" fillId="0" borderId="26" xfId="0" applyNumberFormat="1" applyFont="1" applyFill="1" applyBorder="1" applyAlignment="1">
      <alignment horizontal="right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Protection="1">
      <protection locked="0"/>
    </xf>
    <xf numFmtId="0" fontId="8" fillId="0" borderId="0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6" fillId="0" borderId="0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left"/>
    </xf>
    <xf numFmtId="0" fontId="4" fillId="5" borderId="0" xfId="0" applyFont="1" applyFill="1"/>
    <xf numFmtId="1" fontId="4" fillId="5" borderId="0" xfId="0" applyNumberFormat="1" applyFont="1" applyFill="1" applyProtection="1">
      <protection locked="0"/>
    </xf>
    <xf numFmtId="164" fontId="4" fillId="5" borderId="0" xfId="0" applyNumberFormat="1" applyFont="1" applyFill="1"/>
    <xf numFmtId="3" fontId="16" fillId="5" borderId="0" xfId="0" applyNumberFormat="1" applyFont="1" applyFill="1"/>
    <xf numFmtId="3" fontId="4" fillId="5" borderId="0" xfId="0" applyNumberFormat="1" applyFont="1" applyFill="1"/>
    <xf numFmtId="0" fontId="17" fillId="5" borderId="0" xfId="0" applyFont="1" applyFill="1" applyAlignment="1">
      <alignment horizontal="left"/>
    </xf>
    <xf numFmtId="165" fontId="9" fillId="0" borderId="26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9" fillId="0" borderId="28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/>
    </xf>
    <xf numFmtId="3" fontId="13" fillId="0" borderId="30" xfId="0" applyNumberFormat="1" applyFont="1" applyFill="1" applyBorder="1" applyAlignment="1" applyProtection="1">
      <alignment horizontal="right"/>
    </xf>
    <xf numFmtId="3" fontId="13" fillId="0" borderId="31" xfId="0" applyNumberFormat="1" applyFont="1" applyFill="1" applyBorder="1" applyAlignment="1" applyProtection="1">
      <alignment horizontal="right"/>
    </xf>
    <xf numFmtId="3" fontId="13" fillId="0" borderId="32" xfId="0" applyNumberFormat="1" applyFont="1" applyFill="1" applyBorder="1" applyAlignment="1">
      <alignment horizontal="right"/>
    </xf>
    <xf numFmtId="164" fontId="13" fillId="0" borderId="33" xfId="0" applyNumberFormat="1" applyFont="1" applyFill="1" applyBorder="1" applyAlignment="1">
      <alignment horizontal="right"/>
    </xf>
    <xf numFmtId="1" fontId="18" fillId="0" borderId="0" xfId="0" applyNumberFormat="1" applyFont="1" applyFill="1" applyBorder="1"/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/>
    <xf numFmtId="3" fontId="4" fillId="0" borderId="0" xfId="0" applyNumberFormat="1" applyFont="1" applyFill="1" applyBorder="1"/>
    <xf numFmtId="3" fontId="18" fillId="0" borderId="0" xfId="0" applyNumberFormat="1" applyFont="1" applyFill="1" applyBorder="1"/>
    <xf numFmtId="3" fontId="9" fillId="0" borderId="34" xfId="0" applyNumberFormat="1" applyFont="1" applyFill="1" applyBorder="1" applyAlignment="1" applyProtection="1">
      <alignment horizontal="right"/>
    </xf>
    <xf numFmtId="0" fontId="9" fillId="4" borderId="12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/>
    </xf>
    <xf numFmtId="0" fontId="9" fillId="4" borderId="35" xfId="0" applyFont="1" applyFill="1" applyBorder="1" applyAlignment="1">
      <alignment horizontal="right"/>
    </xf>
    <xf numFmtId="3" fontId="9" fillId="4" borderId="24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13" fillId="0" borderId="0" xfId="0" applyFont="1" applyFill="1" applyBorder="1"/>
    <xf numFmtId="0" fontId="11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7" fillId="4" borderId="9" xfId="0" applyFont="1" applyFill="1" applyBorder="1"/>
    <xf numFmtId="0" fontId="5" fillId="4" borderId="11" xfId="0" applyFont="1" applyFill="1" applyBorder="1"/>
    <xf numFmtId="3" fontId="13" fillId="0" borderId="18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 applyProtection="1">
      <alignment horizontal="right"/>
      <protection locked="0"/>
    </xf>
    <xf numFmtId="3" fontId="13" fillId="0" borderId="37" xfId="0" applyNumberFormat="1" applyFont="1" applyFill="1" applyBorder="1" applyAlignment="1" applyProtection="1">
      <alignment horizontal="right"/>
      <protection locked="0"/>
    </xf>
    <xf numFmtId="3" fontId="13" fillId="0" borderId="38" xfId="0" applyNumberFormat="1" applyFont="1" applyFill="1" applyBorder="1" applyAlignment="1" applyProtection="1">
      <alignment horizontal="right"/>
      <protection locked="0"/>
    </xf>
    <xf numFmtId="3" fontId="13" fillId="0" borderId="34" xfId="0" applyNumberFormat="1" applyFont="1" applyFill="1" applyBorder="1" applyAlignment="1" applyProtection="1">
      <alignment horizontal="right"/>
      <protection locked="0"/>
    </xf>
    <xf numFmtId="3" fontId="13" fillId="0" borderId="39" xfId="0" applyNumberFormat="1" applyFont="1" applyFill="1" applyBorder="1" applyAlignment="1">
      <alignment horizontal="right"/>
    </xf>
    <xf numFmtId="164" fontId="13" fillId="0" borderId="40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3" fontId="13" fillId="0" borderId="41" xfId="0" applyNumberFormat="1" applyFont="1" applyFill="1" applyBorder="1" applyAlignment="1" applyProtection="1">
      <alignment horizontal="right"/>
      <protection locked="0"/>
    </xf>
    <xf numFmtId="3" fontId="13" fillId="0" borderId="23" xfId="0" applyNumberFormat="1" applyFont="1" applyFill="1" applyBorder="1" applyAlignment="1" applyProtection="1">
      <alignment horizontal="right"/>
      <protection locked="0"/>
    </xf>
    <xf numFmtId="3" fontId="13" fillId="0" borderId="42" xfId="0" applyNumberFormat="1" applyFont="1" applyFill="1" applyBorder="1" applyAlignment="1" applyProtection="1">
      <alignment horizontal="right"/>
      <protection locked="0"/>
    </xf>
    <xf numFmtId="3" fontId="13" fillId="0" borderId="35" xfId="0" applyNumberFormat="1" applyFont="1" applyFill="1" applyBorder="1" applyAlignment="1">
      <alignment horizontal="right"/>
    </xf>
    <xf numFmtId="164" fontId="13" fillId="0" borderId="24" xfId="0" applyNumberFormat="1" applyFont="1" applyFill="1" applyBorder="1" applyAlignment="1">
      <alignment horizontal="right"/>
    </xf>
    <xf numFmtId="165" fontId="13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65" fontId="13" fillId="0" borderId="24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165" fontId="9" fillId="0" borderId="40" xfId="0" applyNumberFormat="1" applyFont="1" applyFill="1" applyBorder="1" applyAlignment="1">
      <alignment horizontal="right"/>
    </xf>
    <xf numFmtId="165" fontId="20" fillId="0" borderId="24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 applyProtection="1">
      <alignment horizontal="right"/>
      <protection locked="0"/>
    </xf>
    <xf numFmtId="3" fontId="13" fillId="0" borderId="44" xfId="0" applyNumberFormat="1" applyFont="1" applyFill="1" applyBorder="1" applyAlignment="1" applyProtection="1">
      <alignment horizontal="right"/>
      <protection locked="0"/>
    </xf>
    <xf numFmtId="3" fontId="13" fillId="0" borderId="45" xfId="0" applyNumberFormat="1" applyFont="1" applyFill="1" applyBorder="1" applyAlignment="1" applyProtection="1">
      <alignment horizontal="right"/>
      <protection locked="0"/>
    </xf>
    <xf numFmtId="3" fontId="13" fillId="0" borderId="46" xfId="0" applyNumberFormat="1" applyFont="1" applyFill="1" applyBorder="1" applyAlignment="1" applyProtection="1">
      <alignment horizontal="right"/>
      <protection locked="0"/>
    </xf>
    <xf numFmtId="3" fontId="13" fillId="0" borderId="47" xfId="0" applyNumberFormat="1" applyFont="1" applyFill="1" applyBorder="1" applyAlignment="1">
      <alignment horizontal="right"/>
    </xf>
    <xf numFmtId="165" fontId="20" fillId="0" borderId="48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30" xfId="0" applyNumberFormat="1" applyFont="1" applyFill="1" applyBorder="1" applyAlignment="1" applyProtection="1">
      <alignment horizontal="right"/>
      <protection locked="0"/>
    </xf>
    <xf numFmtId="3" fontId="13" fillId="0" borderId="31" xfId="0" applyNumberFormat="1" applyFont="1" applyFill="1" applyBorder="1" applyAlignment="1" applyProtection="1">
      <alignment horizontal="right"/>
      <protection locked="0"/>
    </xf>
    <xf numFmtId="3" fontId="13" fillId="0" borderId="49" xfId="0" applyNumberFormat="1" applyFont="1" applyFill="1" applyBorder="1" applyAlignment="1" applyProtection="1">
      <alignment horizontal="right"/>
      <protection locked="0"/>
    </xf>
    <xf numFmtId="3" fontId="13" fillId="0" borderId="50" xfId="0" applyNumberFormat="1" applyFont="1" applyFill="1" applyBorder="1" applyAlignment="1" applyProtection="1">
      <alignment horizontal="right"/>
      <protection locked="0"/>
    </xf>
    <xf numFmtId="3" fontId="13" fillId="0" borderId="51" xfId="0" applyNumberFormat="1" applyFont="1" applyFill="1" applyBorder="1" applyAlignment="1" applyProtection="1">
      <alignment horizontal="right"/>
      <protection locked="0"/>
    </xf>
    <xf numFmtId="3" fontId="13" fillId="0" borderId="52" xfId="0" applyNumberFormat="1" applyFont="1" applyFill="1" applyBorder="1" applyAlignment="1" applyProtection="1">
      <alignment horizontal="right"/>
      <protection locked="0"/>
    </xf>
    <xf numFmtId="3" fontId="13" fillId="0" borderId="53" xfId="0" applyNumberFormat="1" applyFont="1" applyFill="1" applyBorder="1" applyAlignment="1">
      <alignment horizontal="right"/>
    </xf>
    <xf numFmtId="165" fontId="13" fillId="0" borderId="54" xfId="0" applyNumberFormat="1" applyFont="1" applyFill="1" applyBorder="1" applyAlignment="1">
      <alignment horizontal="right"/>
    </xf>
    <xf numFmtId="165" fontId="13" fillId="0" borderId="40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 applyProtection="1">
      <alignment horizontal="right"/>
      <protection locked="0"/>
    </xf>
    <xf numFmtId="3" fontId="13" fillId="0" borderId="18" xfId="0" applyNumberFormat="1" applyFont="1" applyFill="1" applyBorder="1" applyAlignment="1" applyProtection="1">
      <alignment horizontal="right"/>
    </xf>
    <xf numFmtId="3" fontId="13" fillId="0" borderId="37" xfId="0" applyNumberFormat="1" applyFont="1" applyFill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alignment horizontal="right"/>
    </xf>
    <xf numFmtId="3" fontId="13" fillId="0" borderId="19" xfId="0" applyNumberFormat="1" applyFont="1" applyFill="1" applyBorder="1" applyAlignment="1" applyProtection="1">
      <alignment horizontal="right"/>
    </xf>
    <xf numFmtId="3" fontId="13" fillId="0" borderId="20" xfId="0" applyNumberFormat="1" applyFont="1" applyFill="1" applyBorder="1" applyAlignment="1" applyProtection="1">
      <alignment horizontal="right"/>
    </xf>
    <xf numFmtId="165" fontId="13" fillId="0" borderId="48" xfId="0" applyNumberFormat="1" applyFont="1" applyFill="1" applyBorder="1" applyAlignment="1">
      <alignment horizontal="right"/>
    </xf>
    <xf numFmtId="164" fontId="20" fillId="0" borderId="24" xfId="0" applyNumberFormat="1" applyFont="1" applyFill="1" applyBorder="1" applyAlignment="1">
      <alignment horizontal="right"/>
    </xf>
    <xf numFmtId="165" fontId="20" fillId="0" borderId="5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 applyProtection="1">
      <alignment horizontal="right"/>
      <protection locked="0"/>
    </xf>
    <xf numFmtId="3" fontId="13" fillId="0" borderId="55" xfId="0" applyNumberFormat="1" applyFont="1" applyFill="1" applyBorder="1" applyAlignment="1" applyProtection="1">
      <alignment horizontal="right"/>
      <protection locked="0"/>
    </xf>
    <xf numFmtId="164" fontId="13" fillId="0" borderId="56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0" fontId="13" fillId="0" borderId="17" xfId="0" applyFont="1" applyFill="1" applyBorder="1"/>
    <xf numFmtId="0" fontId="13" fillId="0" borderId="39" xfId="0" applyFont="1" applyFill="1" applyBorder="1"/>
    <xf numFmtId="0" fontId="13" fillId="0" borderId="57" xfId="0" applyFont="1" applyFill="1" applyBorder="1"/>
    <xf numFmtId="0" fontId="9" fillId="0" borderId="3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47" xfId="0" applyFont="1" applyFill="1" applyBorder="1"/>
    <xf numFmtId="1" fontId="8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64" fontId="21" fillId="0" borderId="28" xfId="0" applyNumberFormat="1" applyFont="1" applyFill="1" applyBorder="1" applyAlignment="1">
      <alignment horizontal="right"/>
    </xf>
    <xf numFmtId="165" fontId="21" fillId="0" borderId="28" xfId="0" applyNumberFormat="1" applyFont="1" applyFill="1" applyBorder="1" applyAlignment="1">
      <alignment horizontal="right"/>
    </xf>
    <xf numFmtId="165" fontId="21" fillId="0" borderId="54" xfId="0" applyNumberFormat="1" applyFont="1" applyFill="1" applyBorder="1" applyAlignment="1">
      <alignment horizontal="right"/>
    </xf>
    <xf numFmtId="165" fontId="21" fillId="0" borderId="48" xfId="0" applyNumberFormat="1" applyFont="1" applyFill="1" applyBorder="1" applyAlignment="1">
      <alignment horizontal="right"/>
    </xf>
    <xf numFmtId="165" fontId="22" fillId="0" borderId="28" xfId="0" applyNumberFormat="1" applyFont="1" applyFill="1" applyBorder="1" applyAlignment="1">
      <alignment horizontal="right"/>
    </xf>
    <xf numFmtId="0" fontId="13" fillId="6" borderId="21" xfId="0" applyFont="1" applyFill="1" applyBorder="1"/>
    <xf numFmtId="3" fontId="9" fillId="6" borderId="21" xfId="0" applyNumberFormat="1" applyFont="1" applyFill="1" applyBorder="1" applyAlignment="1" applyProtection="1">
      <alignment horizontal="right"/>
    </xf>
    <xf numFmtId="3" fontId="13" fillId="6" borderId="2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0" fontId="9" fillId="0" borderId="0" xfId="0" applyFont="1" applyFill="1"/>
    <xf numFmtId="0" fontId="13" fillId="0" borderId="32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3" fillId="0" borderId="44" xfId="0" applyFont="1" applyFill="1" applyBorder="1"/>
    <xf numFmtId="0" fontId="13" fillId="0" borderId="46" xfId="0" applyFont="1" applyFill="1" applyBorder="1"/>
    <xf numFmtId="0" fontId="13" fillId="0" borderId="31" xfId="0" applyFont="1" applyFill="1" applyBorder="1"/>
    <xf numFmtId="0" fontId="9" fillId="0" borderId="14" xfId="0" applyFont="1" applyFill="1" applyBorder="1"/>
    <xf numFmtId="0" fontId="9" fillId="0" borderId="16" xfId="0" applyFont="1" applyFill="1" applyBorder="1"/>
    <xf numFmtId="3" fontId="9" fillId="6" borderId="21" xfId="0" applyNumberFormat="1" applyFont="1" applyFill="1" applyBorder="1" applyAlignment="1">
      <alignment horizontal="right"/>
    </xf>
    <xf numFmtId="164" fontId="13" fillId="0" borderId="26" xfId="0" applyNumberFormat="1" applyFont="1" applyFill="1" applyBorder="1" applyAlignment="1">
      <alignment horizontal="right"/>
    </xf>
    <xf numFmtId="164" fontId="21" fillId="0" borderId="26" xfId="0" applyNumberFormat="1" applyFont="1" applyFill="1" applyBorder="1" applyAlignment="1">
      <alignment horizontal="right"/>
    </xf>
    <xf numFmtId="0" fontId="9" fillId="6" borderId="21" xfId="0" applyFont="1" applyFill="1" applyBorder="1"/>
    <xf numFmtId="0" fontId="23" fillId="0" borderId="0" xfId="0" applyFont="1" applyFill="1"/>
    <xf numFmtId="0" fontId="13" fillId="0" borderId="12" xfId="0" applyFont="1" applyFill="1" applyBorder="1"/>
    <xf numFmtId="0" fontId="24" fillId="0" borderId="0" xfId="0" applyFont="1" applyFill="1"/>
    <xf numFmtId="0" fontId="13" fillId="0" borderId="14" xfId="0" applyFont="1" applyFill="1" applyBorder="1"/>
    <xf numFmtId="0" fontId="13" fillId="0" borderId="16" xfId="0" applyFont="1" applyFill="1" applyBorder="1"/>
    <xf numFmtId="0" fontId="9" fillId="0" borderId="32" xfId="0" applyFont="1" applyFill="1" applyBorder="1"/>
    <xf numFmtId="164" fontId="9" fillId="0" borderId="6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21" fillId="0" borderId="6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0" fontId="9" fillId="4" borderId="58" xfId="0" applyFont="1" applyFill="1" applyBorder="1" applyAlignment="1">
      <alignment vertical="center"/>
    </xf>
    <xf numFmtId="0" fontId="10" fillId="4" borderId="59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0" fontId="13" fillId="4" borderId="59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522747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531A18E-D45B-46BA-ACD3-3CD280AEA44B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opLeftCell="A28" zoomScale="90" zoomScaleNormal="90" workbookViewId="0">
      <selection activeCell="M14" sqref="M14"/>
    </sheetView>
  </sheetViews>
  <sheetFormatPr defaultRowHeight="12.75" x14ac:dyDescent="0.2"/>
  <cols>
    <col min="1" max="1" width="55.6640625" customWidth="1"/>
    <col min="2" max="5" width="10.6640625" bestFit="1" customWidth="1"/>
    <col min="6" max="6" width="10.5" customWidth="1"/>
    <col min="7" max="7" width="10.6640625" bestFit="1" customWidth="1"/>
    <col min="8" max="8" width="12.33203125" bestFit="1" customWidth="1"/>
    <col min="9" max="10" width="26.33203125" customWidth="1"/>
  </cols>
  <sheetData>
    <row r="1" spans="1:9" ht="20.25" x14ac:dyDescent="0.3">
      <c r="A1" s="97" t="s">
        <v>77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s="191" customFormat="1" ht="16.5" x14ac:dyDescent="0.25">
      <c r="A4" s="32" t="s">
        <v>48</v>
      </c>
      <c r="B4" s="175">
        <f t="shared" ref="B4:G4" si="0">SUM(B5:B8)</f>
        <v>1519</v>
      </c>
      <c r="C4" s="175">
        <f t="shared" si="0"/>
        <v>1435</v>
      </c>
      <c r="D4" s="175">
        <f t="shared" si="0"/>
        <v>3959</v>
      </c>
      <c r="E4" s="175">
        <f t="shared" si="0"/>
        <v>2606</v>
      </c>
      <c r="F4" s="175">
        <f t="shared" si="0"/>
        <v>581</v>
      </c>
      <c r="G4" s="175">
        <f t="shared" si="0"/>
        <v>365</v>
      </c>
      <c r="H4" s="200">
        <f>SUM(B4:G4)</f>
        <v>10465</v>
      </c>
      <c r="I4" s="197">
        <f>H4/B$69 * 100000</f>
        <v>373.19553805774279</v>
      </c>
    </row>
    <row r="5" spans="1:9" ht="16.5" x14ac:dyDescent="0.25">
      <c r="A5" s="159" t="s">
        <v>17</v>
      </c>
      <c r="B5" s="174">
        <v>1429</v>
      </c>
      <c r="C5" s="174">
        <v>1313</v>
      </c>
      <c r="D5" s="174">
        <v>3704</v>
      </c>
      <c r="E5" s="174">
        <v>2478</v>
      </c>
      <c r="F5" s="174">
        <v>563</v>
      </c>
      <c r="G5" s="174">
        <v>360</v>
      </c>
      <c r="H5" s="201">
        <f t="shared" ref="H5:H66" si="1">SUM(B5:G5)</f>
        <v>9847</v>
      </c>
      <c r="I5" s="198">
        <f t="shared" ref="I5:I68" si="2">H5/B$69 * 100000</f>
        <v>351.15685267602419</v>
      </c>
    </row>
    <row r="6" spans="1:9" ht="16.5" x14ac:dyDescent="0.25">
      <c r="A6" s="159" t="s">
        <v>18</v>
      </c>
      <c r="B6" s="174">
        <v>66</v>
      </c>
      <c r="C6" s="174">
        <v>45</v>
      </c>
      <c r="D6" s="174">
        <v>49</v>
      </c>
      <c r="E6" s="174">
        <v>24</v>
      </c>
      <c r="F6" s="174">
        <v>9</v>
      </c>
      <c r="G6" s="174">
        <v>2</v>
      </c>
      <c r="H6" s="201">
        <f t="shared" si="1"/>
        <v>195</v>
      </c>
      <c r="I6" s="198">
        <f t="shared" si="2"/>
        <v>6.9539541252995551</v>
      </c>
    </row>
    <row r="7" spans="1:9" ht="16.5" x14ac:dyDescent="0.25">
      <c r="A7" s="159" t="s">
        <v>19</v>
      </c>
      <c r="B7" s="174">
        <v>14</v>
      </c>
      <c r="C7" s="174">
        <v>67</v>
      </c>
      <c r="D7" s="174">
        <v>181</v>
      </c>
      <c r="E7" s="174">
        <v>83</v>
      </c>
      <c r="F7" s="174">
        <v>5</v>
      </c>
      <c r="G7" s="174">
        <v>1</v>
      </c>
      <c r="H7" s="201">
        <f t="shared" si="1"/>
        <v>351</v>
      </c>
      <c r="I7" s="198">
        <f t="shared" si="2"/>
        <v>12.517117425539199</v>
      </c>
    </row>
    <row r="8" spans="1:9" ht="16.5" x14ac:dyDescent="0.25">
      <c r="A8" s="159" t="s">
        <v>58</v>
      </c>
      <c r="B8" s="174">
        <v>10</v>
      </c>
      <c r="C8" s="174">
        <v>10</v>
      </c>
      <c r="D8" s="174">
        <v>25</v>
      </c>
      <c r="E8" s="174">
        <v>21</v>
      </c>
      <c r="F8" s="174">
        <v>4</v>
      </c>
      <c r="G8" s="174">
        <v>2</v>
      </c>
      <c r="H8" s="201">
        <f t="shared" si="1"/>
        <v>72</v>
      </c>
      <c r="I8" s="198">
        <f t="shared" si="2"/>
        <v>2.5676138308798357</v>
      </c>
    </row>
    <row r="9" spans="1:9" s="191" customFormat="1" ht="16.5" x14ac:dyDescent="0.25">
      <c r="A9" s="32" t="s">
        <v>60</v>
      </c>
      <c r="B9" s="175">
        <f t="shared" ref="B9:G9" si="3">SUM(B10:B13)</f>
        <v>64</v>
      </c>
      <c r="C9" s="175">
        <f t="shared" si="3"/>
        <v>14</v>
      </c>
      <c r="D9" s="175">
        <f t="shared" si="3"/>
        <v>25</v>
      </c>
      <c r="E9" s="175">
        <f t="shared" si="3"/>
        <v>15</v>
      </c>
      <c r="F9" s="175">
        <f t="shared" si="3"/>
        <v>0</v>
      </c>
      <c r="G9" s="175">
        <f t="shared" si="3"/>
        <v>3</v>
      </c>
      <c r="H9" s="200">
        <f t="shared" si="1"/>
        <v>121</v>
      </c>
      <c r="I9" s="197">
        <f t="shared" si="2"/>
        <v>4.3150176880063906</v>
      </c>
    </row>
    <row r="10" spans="1:9" ht="16.5" x14ac:dyDescent="0.25">
      <c r="A10" s="159" t="s">
        <v>17</v>
      </c>
      <c r="B10" s="174">
        <v>7</v>
      </c>
      <c r="C10" s="174">
        <v>11</v>
      </c>
      <c r="D10" s="174">
        <v>23</v>
      </c>
      <c r="E10" s="174">
        <v>12</v>
      </c>
      <c r="F10" s="174">
        <v>0</v>
      </c>
      <c r="G10" s="174">
        <v>2</v>
      </c>
      <c r="H10" s="201">
        <f t="shared" si="1"/>
        <v>55</v>
      </c>
      <c r="I10" s="198">
        <f t="shared" si="2"/>
        <v>1.9613716763665412</v>
      </c>
    </row>
    <row r="11" spans="1:9" ht="16.5" x14ac:dyDescent="0.25">
      <c r="A11" s="159" t="s">
        <v>18</v>
      </c>
      <c r="B11" s="176">
        <v>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201">
        <f>SUM(B11:G11)</f>
        <v>0</v>
      </c>
      <c r="I11" s="198">
        <f t="shared" si="2"/>
        <v>0</v>
      </c>
    </row>
    <row r="12" spans="1:9" ht="16.5" x14ac:dyDescent="0.25">
      <c r="A12" s="159" t="s">
        <v>19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201">
        <f>SUM(B12:G12)</f>
        <v>0</v>
      </c>
      <c r="I12" s="198">
        <f t="shared" si="2"/>
        <v>0</v>
      </c>
    </row>
    <row r="13" spans="1:9" ht="16.5" x14ac:dyDescent="0.25">
      <c r="A13" s="159" t="s">
        <v>58</v>
      </c>
      <c r="B13" s="174">
        <v>57</v>
      </c>
      <c r="C13" s="174">
        <v>3</v>
      </c>
      <c r="D13" s="174">
        <v>2</v>
      </c>
      <c r="E13" s="174">
        <v>3</v>
      </c>
      <c r="F13" s="174">
        <v>0</v>
      </c>
      <c r="G13" s="174">
        <v>1</v>
      </c>
      <c r="H13" s="201">
        <f>SUM(B13:G13)</f>
        <v>66</v>
      </c>
      <c r="I13" s="198">
        <f t="shared" si="2"/>
        <v>2.3536460116398494</v>
      </c>
    </row>
    <row r="14" spans="1:9" s="191" customFormat="1" ht="16.5" x14ac:dyDescent="0.25">
      <c r="A14" s="32" t="s">
        <v>49</v>
      </c>
      <c r="B14" s="175">
        <f t="shared" ref="B14:G14" si="4">SUM(B15:B18)</f>
        <v>18926</v>
      </c>
      <c r="C14" s="175">
        <f t="shared" si="4"/>
        <v>2621</v>
      </c>
      <c r="D14" s="175">
        <f t="shared" si="4"/>
        <v>7823</v>
      </c>
      <c r="E14" s="175">
        <f t="shared" si="4"/>
        <v>11617</v>
      </c>
      <c r="F14" s="175">
        <f t="shared" si="4"/>
        <v>5920</v>
      </c>
      <c r="G14" s="175">
        <f t="shared" si="4"/>
        <v>10988</v>
      </c>
      <c r="H14" s="200">
        <f t="shared" si="1"/>
        <v>57895</v>
      </c>
      <c r="I14" s="197">
        <f t="shared" si="2"/>
        <v>2064.6111491498345</v>
      </c>
    </row>
    <row r="15" spans="1:9" ht="16.5" x14ac:dyDescent="0.25">
      <c r="A15" s="159" t="s">
        <v>17</v>
      </c>
      <c r="B15" s="174">
        <v>18919</v>
      </c>
      <c r="C15" s="174">
        <v>2619</v>
      </c>
      <c r="D15" s="174">
        <v>7816</v>
      </c>
      <c r="E15" s="174">
        <v>11615</v>
      </c>
      <c r="F15" s="174">
        <v>5919</v>
      </c>
      <c r="G15" s="174">
        <v>10988</v>
      </c>
      <c r="H15" s="201">
        <f t="shared" si="1"/>
        <v>57876</v>
      </c>
      <c r="I15" s="198">
        <f t="shared" si="2"/>
        <v>2063.933584388908</v>
      </c>
    </row>
    <row r="16" spans="1:9" ht="16.5" x14ac:dyDescent="0.25">
      <c r="A16" s="159" t="s">
        <v>18</v>
      </c>
      <c r="B16" s="174">
        <v>1</v>
      </c>
      <c r="C16" s="174">
        <v>1</v>
      </c>
      <c r="D16" s="174">
        <v>1</v>
      </c>
      <c r="E16" s="174">
        <v>1</v>
      </c>
      <c r="F16" s="174">
        <v>0</v>
      </c>
      <c r="G16" s="174">
        <v>0</v>
      </c>
      <c r="H16" s="201">
        <f t="shared" si="1"/>
        <v>4</v>
      </c>
      <c r="I16" s="199">
        <f t="shared" si="2"/>
        <v>0.14264521282665754</v>
      </c>
    </row>
    <row r="17" spans="1:9" ht="16.5" x14ac:dyDescent="0.25">
      <c r="A17" s="159" t="s">
        <v>19</v>
      </c>
      <c r="B17" s="174">
        <v>0</v>
      </c>
      <c r="C17" s="174">
        <v>1</v>
      </c>
      <c r="D17" s="174">
        <v>1</v>
      </c>
      <c r="E17" s="174">
        <v>1</v>
      </c>
      <c r="F17" s="174">
        <v>0</v>
      </c>
      <c r="G17" s="174">
        <v>0</v>
      </c>
      <c r="H17" s="201">
        <f>SUM(B17:G17)</f>
        <v>3</v>
      </c>
      <c r="I17" s="199">
        <f t="shared" si="2"/>
        <v>0.10698390961999316</v>
      </c>
    </row>
    <row r="18" spans="1:9" ht="16.5" x14ac:dyDescent="0.25">
      <c r="A18" s="159" t="s">
        <v>58</v>
      </c>
      <c r="B18" s="174">
        <v>6</v>
      </c>
      <c r="C18" s="174">
        <v>0</v>
      </c>
      <c r="D18" s="174">
        <v>5</v>
      </c>
      <c r="E18" s="174">
        <v>0</v>
      </c>
      <c r="F18" s="174">
        <v>1</v>
      </c>
      <c r="G18" s="174">
        <v>0</v>
      </c>
      <c r="H18" s="201">
        <f>SUM(B18:G18)</f>
        <v>12</v>
      </c>
      <c r="I18" s="199">
        <f t="shared" si="2"/>
        <v>0.42793563847997262</v>
      </c>
    </row>
    <row r="19" spans="1:9" s="191" customFormat="1" ht="16.5" x14ac:dyDescent="0.25">
      <c r="A19" s="162" t="s">
        <v>50</v>
      </c>
      <c r="B19" s="175">
        <f t="shared" ref="B19:G19" si="5">SUM(B20:B23)</f>
        <v>73</v>
      </c>
      <c r="C19" s="175">
        <f t="shared" si="5"/>
        <v>47</v>
      </c>
      <c r="D19" s="175">
        <f t="shared" si="5"/>
        <v>140</v>
      </c>
      <c r="E19" s="175">
        <f t="shared" si="5"/>
        <v>90</v>
      </c>
      <c r="F19" s="175">
        <f t="shared" si="5"/>
        <v>26</v>
      </c>
      <c r="G19" s="175">
        <f t="shared" si="5"/>
        <v>15</v>
      </c>
      <c r="H19" s="200">
        <f t="shared" si="1"/>
        <v>391</v>
      </c>
      <c r="I19" s="197">
        <f t="shared" si="2"/>
        <v>13.943569553805775</v>
      </c>
    </row>
    <row r="20" spans="1:9" ht="16.5" x14ac:dyDescent="0.25">
      <c r="A20" s="159" t="s">
        <v>17</v>
      </c>
      <c r="B20" s="174">
        <v>72</v>
      </c>
      <c r="C20" s="174">
        <v>47</v>
      </c>
      <c r="D20" s="174">
        <v>136</v>
      </c>
      <c r="E20" s="174">
        <v>88</v>
      </c>
      <c r="F20" s="174">
        <v>25</v>
      </c>
      <c r="G20" s="174">
        <v>15</v>
      </c>
      <c r="H20" s="201">
        <f t="shared" si="1"/>
        <v>383</v>
      </c>
      <c r="I20" s="198">
        <f t="shared" si="2"/>
        <v>13.65827912815246</v>
      </c>
    </row>
    <row r="21" spans="1:9" ht="16.5" x14ac:dyDescent="0.25">
      <c r="A21" s="159" t="s">
        <v>18</v>
      </c>
      <c r="B21" s="174">
        <v>0</v>
      </c>
      <c r="C21" s="174">
        <v>0</v>
      </c>
      <c r="D21" s="174">
        <v>0</v>
      </c>
      <c r="E21" s="174">
        <v>2</v>
      </c>
      <c r="F21" s="174">
        <v>1</v>
      </c>
      <c r="G21" s="174">
        <v>0</v>
      </c>
      <c r="H21" s="201">
        <f t="shared" si="1"/>
        <v>3</v>
      </c>
      <c r="I21" s="199">
        <f t="shared" si="2"/>
        <v>0.10698390961999316</v>
      </c>
    </row>
    <row r="22" spans="1:9" ht="16.5" x14ac:dyDescent="0.25">
      <c r="A22" s="159" t="s">
        <v>19</v>
      </c>
      <c r="B22" s="174">
        <v>1</v>
      </c>
      <c r="C22" s="174">
        <v>0</v>
      </c>
      <c r="D22" s="174">
        <v>2</v>
      </c>
      <c r="E22" s="174">
        <v>0</v>
      </c>
      <c r="F22" s="174">
        <v>0</v>
      </c>
      <c r="G22" s="174">
        <v>0</v>
      </c>
      <c r="H22" s="201">
        <f t="shared" si="1"/>
        <v>3</v>
      </c>
      <c r="I22" s="199">
        <f t="shared" si="2"/>
        <v>0.10698390961999316</v>
      </c>
    </row>
    <row r="23" spans="1:9" ht="16.5" x14ac:dyDescent="0.25">
      <c r="A23" s="159" t="s">
        <v>58</v>
      </c>
      <c r="B23" s="174">
        <v>0</v>
      </c>
      <c r="C23" s="174">
        <v>0</v>
      </c>
      <c r="D23" s="174">
        <v>2</v>
      </c>
      <c r="E23" s="174">
        <v>0</v>
      </c>
      <c r="F23" s="174">
        <v>0</v>
      </c>
      <c r="G23" s="174">
        <v>0</v>
      </c>
      <c r="H23" s="201">
        <f t="shared" si="1"/>
        <v>2</v>
      </c>
      <c r="I23" s="199">
        <f t="shared" si="2"/>
        <v>7.1322606413328771E-2</v>
      </c>
    </row>
    <row r="24" spans="1:9" s="191" customFormat="1" ht="16.5" x14ac:dyDescent="0.25">
      <c r="A24" s="162" t="s">
        <v>51</v>
      </c>
      <c r="B24" s="175">
        <f t="shared" ref="B24:G24" si="6">SUM(B25:B28)</f>
        <v>623</v>
      </c>
      <c r="C24" s="175">
        <f t="shared" si="6"/>
        <v>198</v>
      </c>
      <c r="D24" s="175">
        <f t="shared" si="6"/>
        <v>545</v>
      </c>
      <c r="E24" s="175">
        <f t="shared" si="6"/>
        <v>491</v>
      </c>
      <c r="F24" s="175">
        <f t="shared" si="6"/>
        <v>104</v>
      </c>
      <c r="G24" s="175">
        <f t="shared" si="6"/>
        <v>57</v>
      </c>
      <c r="H24" s="200">
        <f t="shared" si="1"/>
        <v>2018</v>
      </c>
      <c r="I24" s="197">
        <f t="shared" si="2"/>
        <v>71.964509871048719</v>
      </c>
    </row>
    <row r="25" spans="1:9" ht="16.5" x14ac:dyDescent="0.25">
      <c r="A25" s="159" t="s">
        <v>17</v>
      </c>
      <c r="B25" s="174">
        <v>614</v>
      </c>
      <c r="C25" s="174">
        <v>193</v>
      </c>
      <c r="D25" s="174">
        <v>528</v>
      </c>
      <c r="E25" s="174">
        <v>478</v>
      </c>
      <c r="F25" s="174">
        <v>103</v>
      </c>
      <c r="G25" s="174">
        <v>56</v>
      </c>
      <c r="H25" s="201">
        <f>SUM(B25:G25)</f>
        <v>1972</v>
      </c>
      <c r="I25" s="198">
        <f t="shared" si="2"/>
        <v>70.324089923542161</v>
      </c>
    </row>
    <row r="26" spans="1:9" ht="16.5" x14ac:dyDescent="0.25">
      <c r="A26" s="159" t="s">
        <v>18</v>
      </c>
      <c r="B26" s="174">
        <v>2</v>
      </c>
      <c r="C26" s="174">
        <v>1</v>
      </c>
      <c r="D26" s="174">
        <v>1</v>
      </c>
      <c r="E26" s="174">
        <v>0</v>
      </c>
      <c r="F26" s="174">
        <v>0</v>
      </c>
      <c r="G26" s="174">
        <v>0</v>
      </c>
      <c r="H26" s="201">
        <f>SUM(B26:G26)</f>
        <v>4</v>
      </c>
      <c r="I26" s="199">
        <f t="shared" si="2"/>
        <v>0.14264521282665754</v>
      </c>
    </row>
    <row r="27" spans="1:9" ht="16.5" x14ac:dyDescent="0.25">
      <c r="A27" s="159" t="s">
        <v>19</v>
      </c>
      <c r="B27" s="174">
        <v>0</v>
      </c>
      <c r="C27" s="174">
        <v>1</v>
      </c>
      <c r="D27" s="174">
        <v>2</v>
      </c>
      <c r="E27" s="174">
        <v>0</v>
      </c>
      <c r="F27" s="174">
        <v>0</v>
      </c>
      <c r="G27" s="174">
        <v>0</v>
      </c>
      <c r="H27" s="201">
        <f>SUM(B27:G27)</f>
        <v>3</v>
      </c>
      <c r="I27" s="199">
        <f t="shared" si="2"/>
        <v>0.10698390961999316</v>
      </c>
    </row>
    <row r="28" spans="1:9" ht="16.5" x14ac:dyDescent="0.25">
      <c r="A28" s="159" t="s">
        <v>58</v>
      </c>
      <c r="B28" s="174">
        <v>7</v>
      </c>
      <c r="C28" s="174">
        <v>3</v>
      </c>
      <c r="D28" s="174">
        <v>14</v>
      </c>
      <c r="E28" s="174">
        <v>13</v>
      </c>
      <c r="F28" s="174">
        <v>1</v>
      </c>
      <c r="G28" s="174">
        <v>1</v>
      </c>
      <c r="H28" s="201">
        <f t="shared" si="1"/>
        <v>39</v>
      </c>
      <c r="I28" s="198">
        <f t="shared" si="2"/>
        <v>1.390790825059911</v>
      </c>
    </row>
    <row r="29" spans="1:9" s="191" customFormat="1" ht="16.5" x14ac:dyDescent="0.25">
      <c r="A29" s="32" t="s">
        <v>52</v>
      </c>
      <c r="B29" s="175">
        <f t="shared" ref="B29:G29" si="7">SUM(B30:B33)</f>
        <v>52</v>
      </c>
      <c r="C29" s="175">
        <f t="shared" si="7"/>
        <v>192</v>
      </c>
      <c r="D29" s="175">
        <f t="shared" si="7"/>
        <v>251</v>
      </c>
      <c r="E29" s="175">
        <f t="shared" si="7"/>
        <v>67</v>
      </c>
      <c r="F29" s="175">
        <f t="shared" si="7"/>
        <v>9</v>
      </c>
      <c r="G29" s="175">
        <f t="shared" si="7"/>
        <v>6</v>
      </c>
      <c r="H29" s="200">
        <f t="shared" si="1"/>
        <v>577</v>
      </c>
      <c r="I29" s="197">
        <f t="shared" si="2"/>
        <v>20.576571950245349</v>
      </c>
    </row>
    <row r="30" spans="1:9" ht="16.5" x14ac:dyDescent="0.25">
      <c r="A30" s="159" t="s">
        <v>17</v>
      </c>
      <c r="B30" s="174">
        <v>36</v>
      </c>
      <c r="C30" s="174">
        <v>132</v>
      </c>
      <c r="D30" s="174">
        <v>164</v>
      </c>
      <c r="E30" s="174">
        <v>45</v>
      </c>
      <c r="F30" s="174">
        <v>6</v>
      </c>
      <c r="G30" s="174">
        <v>4</v>
      </c>
      <c r="H30" s="201">
        <f t="shared" si="1"/>
        <v>387</v>
      </c>
      <c r="I30" s="198">
        <f t="shared" si="2"/>
        <v>13.800924340979115</v>
      </c>
    </row>
    <row r="31" spans="1:9" ht="16.5" x14ac:dyDescent="0.25">
      <c r="A31" s="159" t="s">
        <v>18</v>
      </c>
      <c r="B31" s="174">
        <v>0</v>
      </c>
      <c r="C31" s="174">
        <v>0</v>
      </c>
      <c r="D31" s="174">
        <v>0</v>
      </c>
      <c r="E31" s="174">
        <v>1</v>
      </c>
      <c r="F31" s="174">
        <v>0</v>
      </c>
      <c r="G31" s="174">
        <v>2</v>
      </c>
      <c r="H31" s="201">
        <f t="shared" si="1"/>
        <v>3</v>
      </c>
      <c r="I31" s="199">
        <f t="shared" si="2"/>
        <v>0.10698390961999316</v>
      </c>
    </row>
    <row r="32" spans="1:9" ht="16.5" x14ac:dyDescent="0.25">
      <c r="A32" s="159" t="s">
        <v>19</v>
      </c>
      <c r="B32" s="174">
        <v>11</v>
      </c>
      <c r="C32" s="174">
        <v>54</v>
      </c>
      <c r="D32" s="174">
        <v>75</v>
      </c>
      <c r="E32" s="174">
        <v>18</v>
      </c>
      <c r="F32" s="174">
        <v>3</v>
      </c>
      <c r="G32" s="174">
        <v>0</v>
      </c>
      <c r="H32" s="201">
        <f t="shared" si="1"/>
        <v>161</v>
      </c>
      <c r="I32" s="198">
        <f t="shared" si="2"/>
        <v>5.741469816272966</v>
      </c>
    </row>
    <row r="33" spans="1:9" ht="16.5" x14ac:dyDescent="0.25">
      <c r="A33" s="160" t="s">
        <v>58</v>
      </c>
      <c r="B33" s="174">
        <v>5</v>
      </c>
      <c r="C33" s="174">
        <v>6</v>
      </c>
      <c r="D33" s="174">
        <v>12</v>
      </c>
      <c r="E33" s="174">
        <v>3</v>
      </c>
      <c r="F33" s="174">
        <v>0</v>
      </c>
      <c r="G33" s="174">
        <v>0</v>
      </c>
      <c r="H33" s="201">
        <f t="shared" si="1"/>
        <v>26</v>
      </c>
      <c r="I33" s="198">
        <f t="shared" si="2"/>
        <v>0.92719388337327402</v>
      </c>
    </row>
    <row r="34" spans="1:9" s="191" customFormat="1" ht="16.5" x14ac:dyDescent="0.25">
      <c r="A34" s="39" t="s">
        <v>12</v>
      </c>
      <c r="B34" s="190">
        <v>31</v>
      </c>
      <c r="C34" s="190">
        <v>41</v>
      </c>
      <c r="D34" s="190">
        <v>236</v>
      </c>
      <c r="E34" s="190">
        <v>270</v>
      </c>
      <c r="F34" s="190">
        <v>58</v>
      </c>
      <c r="G34" s="190">
        <v>15</v>
      </c>
      <c r="H34" s="200">
        <f t="shared" si="1"/>
        <v>651</v>
      </c>
      <c r="I34" s="197">
        <f t="shared" si="2"/>
        <v>23.215508387538517</v>
      </c>
    </row>
    <row r="35" spans="1:9" s="191" customFormat="1" ht="16.5" x14ac:dyDescent="0.25">
      <c r="A35" s="32" t="s">
        <v>53</v>
      </c>
      <c r="B35" s="175">
        <f>SUM(B36+B42+B43+B44)</f>
        <v>2286</v>
      </c>
      <c r="C35" s="175">
        <f t="shared" ref="C35:H35" si="8">SUM(C36+C42+C43+C44)</f>
        <v>3850</v>
      </c>
      <c r="D35" s="175">
        <f t="shared" si="8"/>
        <v>8033</v>
      </c>
      <c r="E35" s="175">
        <f t="shared" si="8"/>
        <v>5018</v>
      </c>
      <c r="F35" s="175">
        <f t="shared" si="8"/>
        <v>1172</v>
      </c>
      <c r="G35" s="175">
        <f t="shared" si="8"/>
        <v>722</v>
      </c>
      <c r="H35" s="200">
        <f t="shared" si="8"/>
        <v>21081</v>
      </c>
      <c r="I35" s="197">
        <f t="shared" si="2"/>
        <v>751.77593289969184</v>
      </c>
    </row>
    <row r="36" spans="1:9" ht="16.5" x14ac:dyDescent="0.25">
      <c r="A36" s="159" t="s">
        <v>17</v>
      </c>
      <c r="B36" s="176">
        <f t="shared" ref="B36:G36" si="9">SUM(B37:B41)</f>
        <v>2285</v>
      </c>
      <c r="C36" s="176">
        <f t="shared" si="9"/>
        <v>3850</v>
      </c>
      <c r="D36" s="176">
        <f t="shared" si="9"/>
        <v>8030</v>
      </c>
      <c r="E36" s="176">
        <f t="shared" si="9"/>
        <v>5016</v>
      </c>
      <c r="F36" s="176">
        <f t="shared" si="9"/>
        <v>1170</v>
      </c>
      <c r="G36" s="176">
        <f t="shared" si="9"/>
        <v>722</v>
      </c>
      <c r="H36" s="201">
        <f t="shared" si="1"/>
        <v>21073</v>
      </c>
      <c r="I36" s="198">
        <f t="shared" si="2"/>
        <v>751.49064247403862</v>
      </c>
    </row>
    <row r="37" spans="1:9" ht="16.5" x14ac:dyDescent="0.25">
      <c r="A37" s="159" t="s">
        <v>24</v>
      </c>
      <c r="B37" s="174">
        <v>2002</v>
      </c>
      <c r="C37" s="174">
        <v>3430</v>
      </c>
      <c r="D37" s="174">
        <v>7149</v>
      </c>
      <c r="E37" s="174">
        <v>4322</v>
      </c>
      <c r="F37" s="174">
        <v>1047</v>
      </c>
      <c r="G37" s="174">
        <v>655</v>
      </c>
      <c r="H37" s="201">
        <f t="shared" si="1"/>
        <v>18605</v>
      </c>
      <c r="I37" s="198">
        <f t="shared" si="2"/>
        <v>663.47854615999086</v>
      </c>
    </row>
    <row r="38" spans="1:9" ht="16.5" x14ac:dyDescent="0.25">
      <c r="A38" s="159" t="s">
        <v>25</v>
      </c>
      <c r="B38" s="174">
        <v>55</v>
      </c>
      <c r="C38" s="174">
        <v>233</v>
      </c>
      <c r="D38" s="174">
        <v>472</v>
      </c>
      <c r="E38" s="174">
        <v>225</v>
      </c>
      <c r="F38" s="174">
        <v>23</v>
      </c>
      <c r="G38" s="174">
        <v>9</v>
      </c>
      <c r="H38" s="201">
        <f t="shared" si="1"/>
        <v>1017</v>
      </c>
      <c r="I38" s="198">
        <f t="shared" si="2"/>
        <v>36.267545361177682</v>
      </c>
    </row>
    <row r="39" spans="1:9" ht="16.5" x14ac:dyDescent="0.25">
      <c r="A39" s="159" t="s">
        <v>26</v>
      </c>
      <c r="B39" s="174">
        <v>155</v>
      </c>
      <c r="C39" s="174">
        <v>85</v>
      </c>
      <c r="D39" s="174">
        <v>214</v>
      </c>
      <c r="E39" s="174">
        <v>232</v>
      </c>
      <c r="F39" s="174">
        <v>29</v>
      </c>
      <c r="G39" s="174">
        <v>12</v>
      </c>
      <c r="H39" s="201">
        <f t="shared" si="1"/>
        <v>727</v>
      </c>
      <c r="I39" s="198">
        <f t="shared" si="2"/>
        <v>25.925767431245006</v>
      </c>
    </row>
    <row r="40" spans="1:9" ht="16.5" x14ac:dyDescent="0.25">
      <c r="A40" s="159" t="s">
        <v>27</v>
      </c>
      <c r="B40" s="174">
        <v>73</v>
      </c>
      <c r="C40" s="174">
        <v>102</v>
      </c>
      <c r="D40" s="174">
        <v>195</v>
      </c>
      <c r="E40" s="174">
        <v>236</v>
      </c>
      <c r="F40" s="174">
        <v>71</v>
      </c>
      <c r="G40" s="174">
        <v>46</v>
      </c>
      <c r="H40" s="201">
        <f t="shared" si="1"/>
        <v>723</v>
      </c>
      <c r="I40" s="198">
        <f t="shared" si="2"/>
        <v>25.783122218418352</v>
      </c>
    </row>
    <row r="41" spans="1:9" ht="16.5" x14ac:dyDescent="0.25">
      <c r="A41" s="159" t="s">
        <v>28</v>
      </c>
      <c r="B41" s="174">
        <v>0</v>
      </c>
      <c r="C41" s="174">
        <v>0</v>
      </c>
      <c r="D41" s="174">
        <v>0</v>
      </c>
      <c r="E41" s="174">
        <v>1</v>
      </c>
      <c r="F41" s="174">
        <v>0</v>
      </c>
      <c r="G41" s="174">
        <v>0</v>
      </c>
      <c r="H41" s="201">
        <f t="shared" si="1"/>
        <v>1</v>
      </c>
      <c r="I41" s="199">
        <f t="shared" si="2"/>
        <v>3.5661303206664385E-2</v>
      </c>
    </row>
    <row r="42" spans="1:9" ht="16.5" x14ac:dyDescent="0.25">
      <c r="A42" s="159" t="s">
        <v>18</v>
      </c>
      <c r="B42" s="174">
        <v>1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201">
        <f t="shared" si="1"/>
        <v>1</v>
      </c>
      <c r="I42" s="199">
        <f t="shared" si="2"/>
        <v>3.5661303206664385E-2</v>
      </c>
    </row>
    <row r="43" spans="1:9" ht="16.5" x14ac:dyDescent="0.25">
      <c r="A43" s="159" t="s">
        <v>19</v>
      </c>
      <c r="B43" s="174">
        <v>0</v>
      </c>
      <c r="C43" s="174">
        <v>0</v>
      </c>
      <c r="D43" s="174">
        <v>2</v>
      </c>
      <c r="E43" s="174">
        <v>1</v>
      </c>
      <c r="F43" s="174">
        <v>0</v>
      </c>
      <c r="G43" s="174">
        <v>0</v>
      </c>
      <c r="H43" s="201">
        <f>SUM(B43:G43)</f>
        <v>3</v>
      </c>
      <c r="I43" s="199">
        <f t="shared" si="2"/>
        <v>0.10698390961999316</v>
      </c>
    </row>
    <row r="44" spans="1:9" ht="16.5" x14ac:dyDescent="0.25">
      <c r="A44" s="159" t="s">
        <v>58</v>
      </c>
      <c r="B44" s="174">
        <v>0</v>
      </c>
      <c r="C44" s="174">
        <v>0</v>
      </c>
      <c r="D44" s="174">
        <v>1</v>
      </c>
      <c r="E44" s="174">
        <v>1</v>
      </c>
      <c r="F44" s="174">
        <v>2</v>
      </c>
      <c r="G44" s="174">
        <v>0</v>
      </c>
      <c r="H44" s="201">
        <f>SUM(B44:G44)</f>
        <v>4</v>
      </c>
      <c r="I44" s="199">
        <f t="shared" si="2"/>
        <v>0.14264521282665754</v>
      </c>
    </row>
    <row r="45" spans="1:9" s="191" customFormat="1" ht="16.5" x14ac:dyDescent="0.25">
      <c r="A45" s="39" t="s">
        <v>32</v>
      </c>
      <c r="B45" s="190">
        <v>501</v>
      </c>
      <c r="C45" s="190">
        <v>113</v>
      </c>
      <c r="D45" s="190">
        <v>317</v>
      </c>
      <c r="E45" s="190">
        <v>290</v>
      </c>
      <c r="F45" s="190">
        <v>56</v>
      </c>
      <c r="G45" s="190">
        <v>19</v>
      </c>
      <c r="H45" s="200">
        <f t="shared" si="1"/>
        <v>1296</v>
      </c>
      <c r="I45" s="197">
        <f t="shared" si="2"/>
        <v>46.217048955837043</v>
      </c>
    </row>
    <row r="46" spans="1:9" s="191" customFormat="1" ht="16.5" x14ac:dyDescent="0.25">
      <c r="A46" s="39" t="s">
        <v>33</v>
      </c>
      <c r="B46" s="190">
        <v>59</v>
      </c>
      <c r="C46" s="190">
        <v>42</v>
      </c>
      <c r="D46" s="190">
        <v>98</v>
      </c>
      <c r="E46" s="190">
        <v>100</v>
      </c>
      <c r="F46" s="190">
        <v>22</v>
      </c>
      <c r="G46" s="190">
        <v>17</v>
      </c>
      <c r="H46" s="200">
        <f t="shared" si="1"/>
        <v>338</v>
      </c>
      <c r="I46" s="197">
        <f t="shared" si="2"/>
        <v>12.053520483852562</v>
      </c>
    </row>
    <row r="47" spans="1:9" s="191" customFormat="1" ht="16.5" x14ac:dyDescent="0.25">
      <c r="A47" s="32" t="s">
        <v>47</v>
      </c>
      <c r="B47" s="175">
        <f t="shared" ref="B47:G47" si="10">SUM(B48:B51)</f>
        <v>127</v>
      </c>
      <c r="C47" s="175">
        <f t="shared" si="10"/>
        <v>125</v>
      </c>
      <c r="D47" s="175">
        <f t="shared" si="10"/>
        <v>228</v>
      </c>
      <c r="E47" s="175">
        <f t="shared" si="10"/>
        <v>148</v>
      </c>
      <c r="F47" s="175">
        <f t="shared" si="10"/>
        <v>28</v>
      </c>
      <c r="G47" s="175">
        <f t="shared" si="10"/>
        <v>20</v>
      </c>
      <c r="H47" s="200">
        <f t="shared" si="1"/>
        <v>676</v>
      </c>
      <c r="I47" s="197">
        <f t="shared" si="2"/>
        <v>24.107040967705125</v>
      </c>
    </row>
    <row r="48" spans="1:9" ht="16.5" x14ac:dyDescent="0.25">
      <c r="A48" s="159" t="s">
        <v>17</v>
      </c>
      <c r="B48" s="174">
        <v>127</v>
      </c>
      <c r="C48" s="174">
        <v>125</v>
      </c>
      <c r="D48" s="174">
        <v>228</v>
      </c>
      <c r="E48" s="174">
        <v>148</v>
      </c>
      <c r="F48" s="174">
        <v>28</v>
      </c>
      <c r="G48" s="174">
        <v>20</v>
      </c>
      <c r="H48" s="201">
        <f t="shared" si="1"/>
        <v>676</v>
      </c>
      <c r="I48" s="198">
        <f t="shared" si="2"/>
        <v>24.107040967705125</v>
      </c>
    </row>
    <row r="49" spans="1:9" ht="16.5" x14ac:dyDescent="0.25">
      <c r="A49" s="160" t="s">
        <v>18</v>
      </c>
      <c r="B49" s="176">
        <v>0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201">
        <f t="shared" si="1"/>
        <v>0</v>
      </c>
      <c r="I49" s="198">
        <f t="shared" si="2"/>
        <v>0</v>
      </c>
    </row>
    <row r="50" spans="1:9" ht="16.5" x14ac:dyDescent="0.25">
      <c r="A50" s="159" t="s">
        <v>19</v>
      </c>
      <c r="B50" s="176">
        <v>0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201">
        <f t="shared" si="1"/>
        <v>0</v>
      </c>
      <c r="I50" s="198">
        <f t="shared" si="2"/>
        <v>0</v>
      </c>
    </row>
    <row r="51" spans="1:9" ht="16.5" x14ac:dyDescent="0.25">
      <c r="A51" s="159" t="s">
        <v>58</v>
      </c>
      <c r="B51" s="176">
        <v>0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201">
        <f t="shared" si="1"/>
        <v>0</v>
      </c>
      <c r="I51" s="198">
        <f t="shared" si="2"/>
        <v>0</v>
      </c>
    </row>
    <row r="52" spans="1:9" s="191" customFormat="1" ht="16.5" x14ac:dyDescent="0.25">
      <c r="A52" s="45" t="s">
        <v>79</v>
      </c>
      <c r="B52" s="187">
        <v>124</v>
      </c>
      <c r="C52" s="187">
        <v>77</v>
      </c>
      <c r="D52" s="187">
        <v>183</v>
      </c>
      <c r="E52" s="187">
        <v>141</v>
      </c>
      <c r="F52" s="187">
        <v>51</v>
      </c>
      <c r="G52" s="187">
        <v>51</v>
      </c>
      <c r="H52" s="200">
        <v>627</v>
      </c>
      <c r="I52" s="197">
        <f t="shared" si="2"/>
        <v>22.359637110578571</v>
      </c>
    </row>
    <row r="53" spans="1:9" s="191" customFormat="1" ht="16.5" x14ac:dyDescent="0.25">
      <c r="A53" s="39" t="s">
        <v>11</v>
      </c>
      <c r="B53" s="190">
        <v>2810</v>
      </c>
      <c r="C53" s="190">
        <v>1566</v>
      </c>
      <c r="D53" s="190">
        <v>4317</v>
      </c>
      <c r="E53" s="190">
        <v>3517</v>
      </c>
      <c r="F53" s="190">
        <v>686</v>
      </c>
      <c r="G53" s="190">
        <v>393</v>
      </c>
      <c r="H53" s="200">
        <f>SUM(B53:G53)</f>
        <v>13289</v>
      </c>
      <c r="I53" s="197">
        <f t="shared" si="2"/>
        <v>473.90305831336298</v>
      </c>
    </row>
    <row r="54" spans="1:9" s="191" customFormat="1" ht="16.5" x14ac:dyDescent="0.25">
      <c r="A54" s="32" t="s">
        <v>45</v>
      </c>
      <c r="B54" s="175">
        <f t="shared" ref="B54:G54" si="11">SUM(B55:B58)</f>
        <v>938</v>
      </c>
      <c r="C54" s="175">
        <f t="shared" si="11"/>
        <v>415</v>
      </c>
      <c r="D54" s="175">
        <f t="shared" si="11"/>
        <v>922</v>
      </c>
      <c r="E54" s="175">
        <f t="shared" si="11"/>
        <v>675</v>
      </c>
      <c r="F54" s="175">
        <f t="shared" si="11"/>
        <v>153</v>
      </c>
      <c r="G54" s="175">
        <f t="shared" si="11"/>
        <v>171</v>
      </c>
      <c r="H54" s="200">
        <f>SUM(B54:G54)</f>
        <v>3274</v>
      </c>
      <c r="I54" s="197">
        <f t="shared" si="2"/>
        <v>116.7551066986192</v>
      </c>
    </row>
    <row r="55" spans="1:9" ht="16.5" x14ac:dyDescent="0.25">
      <c r="A55" s="159" t="s">
        <v>1</v>
      </c>
      <c r="B55" s="174">
        <v>696</v>
      </c>
      <c r="C55" s="174">
        <v>288</v>
      </c>
      <c r="D55" s="174">
        <v>687</v>
      </c>
      <c r="E55" s="174">
        <v>524</v>
      </c>
      <c r="F55" s="174">
        <v>130</v>
      </c>
      <c r="G55" s="174">
        <v>147</v>
      </c>
      <c r="H55" s="201">
        <f t="shared" si="1"/>
        <v>2472</v>
      </c>
      <c r="I55" s="198">
        <f t="shared" si="2"/>
        <v>88.154741526874361</v>
      </c>
    </row>
    <row r="56" spans="1:9" ht="16.5" x14ac:dyDescent="0.25">
      <c r="A56" s="159" t="s">
        <v>22</v>
      </c>
      <c r="B56" s="174">
        <v>184</v>
      </c>
      <c r="C56" s="174">
        <v>84</v>
      </c>
      <c r="D56" s="174">
        <v>170</v>
      </c>
      <c r="E56" s="174">
        <v>104</v>
      </c>
      <c r="F56" s="174">
        <v>12</v>
      </c>
      <c r="G56" s="174">
        <v>8</v>
      </c>
      <c r="H56" s="201">
        <f t="shared" si="1"/>
        <v>562</v>
      </c>
      <c r="I56" s="198">
        <f t="shared" si="2"/>
        <v>20.041652402145385</v>
      </c>
    </row>
    <row r="57" spans="1:9" ht="16.5" x14ac:dyDescent="0.25">
      <c r="A57" s="159" t="s">
        <v>23</v>
      </c>
      <c r="B57" s="174">
        <v>4</v>
      </c>
      <c r="C57" s="174">
        <v>5</v>
      </c>
      <c r="D57" s="174">
        <v>6</v>
      </c>
      <c r="E57" s="174">
        <v>3</v>
      </c>
      <c r="F57" s="174">
        <v>1</v>
      </c>
      <c r="G57" s="174">
        <v>0</v>
      </c>
      <c r="H57" s="201">
        <f>SUM(B57:G57)</f>
        <v>19</v>
      </c>
      <c r="I57" s="199">
        <f t="shared" si="2"/>
        <v>0.67756476092662332</v>
      </c>
    </row>
    <row r="58" spans="1:9" ht="16.5" x14ac:dyDescent="0.25">
      <c r="A58" s="159" t="s">
        <v>59</v>
      </c>
      <c r="B58" s="174">
        <v>54</v>
      </c>
      <c r="C58" s="174">
        <v>38</v>
      </c>
      <c r="D58" s="174">
        <v>59</v>
      </c>
      <c r="E58" s="174">
        <v>44</v>
      </c>
      <c r="F58" s="174">
        <v>10</v>
      </c>
      <c r="G58" s="174">
        <v>16</v>
      </c>
      <c r="H58" s="201">
        <f t="shared" si="1"/>
        <v>221</v>
      </c>
      <c r="I58" s="198">
        <f t="shared" si="2"/>
        <v>7.8811480086728292</v>
      </c>
    </row>
    <row r="59" spans="1:9" s="191" customFormat="1" ht="16.5" x14ac:dyDescent="0.25">
      <c r="A59" s="32" t="s">
        <v>42</v>
      </c>
      <c r="B59" s="175">
        <f t="shared" ref="B59:G59" si="12">SUM(B60:B63)</f>
        <v>8016</v>
      </c>
      <c r="C59" s="175">
        <f t="shared" si="12"/>
        <v>2766</v>
      </c>
      <c r="D59" s="175">
        <f t="shared" si="12"/>
        <v>5890</v>
      </c>
      <c r="E59" s="175">
        <f t="shared" si="12"/>
        <v>3806</v>
      </c>
      <c r="F59" s="175">
        <f t="shared" si="12"/>
        <v>828</v>
      </c>
      <c r="G59" s="175">
        <f t="shared" si="12"/>
        <v>820</v>
      </c>
      <c r="H59" s="200">
        <f t="shared" si="1"/>
        <v>22126</v>
      </c>
      <c r="I59" s="197">
        <f t="shared" si="2"/>
        <v>789.04199475065616</v>
      </c>
    </row>
    <row r="60" spans="1:9" ht="16.5" x14ac:dyDescent="0.25">
      <c r="A60" s="159" t="s">
        <v>1</v>
      </c>
      <c r="B60" s="174">
        <v>7575</v>
      </c>
      <c r="C60" s="174">
        <v>2055</v>
      </c>
      <c r="D60" s="174">
        <v>4378</v>
      </c>
      <c r="E60" s="174">
        <v>3180</v>
      </c>
      <c r="F60" s="174">
        <v>750</v>
      </c>
      <c r="G60" s="174">
        <v>789</v>
      </c>
      <c r="H60" s="201">
        <f t="shared" si="1"/>
        <v>18727</v>
      </c>
      <c r="I60" s="198">
        <f t="shared" si="2"/>
        <v>667.8292251512039</v>
      </c>
    </row>
    <row r="61" spans="1:9" ht="16.5" x14ac:dyDescent="0.25">
      <c r="A61" s="159" t="s">
        <v>22</v>
      </c>
      <c r="B61" s="174">
        <v>2</v>
      </c>
      <c r="C61" s="174">
        <v>1</v>
      </c>
      <c r="D61" s="174">
        <v>2</v>
      </c>
      <c r="E61" s="174">
        <v>0</v>
      </c>
      <c r="F61" s="174">
        <v>0</v>
      </c>
      <c r="G61" s="174">
        <v>1</v>
      </c>
      <c r="H61" s="201">
        <f t="shared" si="1"/>
        <v>6</v>
      </c>
      <c r="I61" s="199">
        <f t="shared" si="2"/>
        <v>0.21396781923998631</v>
      </c>
    </row>
    <row r="62" spans="1:9" ht="16.5" x14ac:dyDescent="0.25">
      <c r="A62" s="159" t="s">
        <v>23</v>
      </c>
      <c r="B62" s="174">
        <v>422</v>
      </c>
      <c r="C62" s="174">
        <v>698</v>
      </c>
      <c r="D62" s="174">
        <v>1474</v>
      </c>
      <c r="E62" s="174">
        <v>604</v>
      </c>
      <c r="F62" s="174">
        <v>76</v>
      </c>
      <c r="G62" s="174">
        <v>28</v>
      </c>
      <c r="H62" s="201">
        <f>SUM(B62:G62)</f>
        <v>3302</v>
      </c>
      <c r="I62" s="198">
        <f t="shared" si="2"/>
        <v>117.7536231884058</v>
      </c>
    </row>
    <row r="63" spans="1:9" ht="16.5" x14ac:dyDescent="0.25">
      <c r="A63" s="159" t="s">
        <v>59</v>
      </c>
      <c r="B63" s="174">
        <v>17</v>
      </c>
      <c r="C63" s="174">
        <v>12</v>
      </c>
      <c r="D63" s="174">
        <v>36</v>
      </c>
      <c r="E63" s="174">
        <v>22</v>
      </c>
      <c r="F63" s="174">
        <v>2</v>
      </c>
      <c r="G63" s="174">
        <v>2</v>
      </c>
      <c r="H63" s="201">
        <f t="shared" si="1"/>
        <v>91</v>
      </c>
      <c r="I63" s="198">
        <f t="shared" si="2"/>
        <v>3.2451785918064586</v>
      </c>
    </row>
    <row r="64" spans="1:9" s="191" customFormat="1" ht="16.5" x14ac:dyDescent="0.25">
      <c r="A64" s="32" t="s">
        <v>41</v>
      </c>
      <c r="B64" s="175">
        <f t="shared" ref="B64:G64" si="13">SUM(B65:B68)</f>
        <v>10</v>
      </c>
      <c r="C64" s="175">
        <f t="shared" si="13"/>
        <v>1</v>
      </c>
      <c r="D64" s="175">
        <f t="shared" si="13"/>
        <v>7</v>
      </c>
      <c r="E64" s="175">
        <f t="shared" si="13"/>
        <v>4</v>
      </c>
      <c r="F64" s="175">
        <f t="shared" si="13"/>
        <v>4</v>
      </c>
      <c r="G64" s="175">
        <f t="shared" si="13"/>
        <v>6</v>
      </c>
      <c r="H64" s="200">
        <f t="shared" si="1"/>
        <v>32</v>
      </c>
      <c r="I64" s="197">
        <f t="shared" si="2"/>
        <v>1.1411617026132603</v>
      </c>
    </row>
    <row r="65" spans="1:9" ht="16.5" x14ac:dyDescent="0.25">
      <c r="A65" s="159" t="s">
        <v>17</v>
      </c>
      <c r="B65" s="174">
        <v>7</v>
      </c>
      <c r="C65" s="174">
        <v>1</v>
      </c>
      <c r="D65" s="174">
        <v>2</v>
      </c>
      <c r="E65" s="174">
        <v>4</v>
      </c>
      <c r="F65" s="174">
        <v>4</v>
      </c>
      <c r="G65" s="174">
        <v>6</v>
      </c>
      <c r="H65" s="201">
        <f t="shared" si="1"/>
        <v>24</v>
      </c>
      <c r="I65" s="198">
        <f t="shared" si="2"/>
        <v>0.85587127695994525</v>
      </c>
    </row>
    <row r="66" spans="1:9" ht="16.5" x14ac:dyDescent="0.25">
      <c r="A66" s="160" t="s">
        <v>18</v>
      </c>
      <c r="B66" s="174">
        <v>2</v>
      </c>
      <c r="C66" s="174">
        <v>0</v>
      </c>
      <c r="D66" s="174">
        <v>3</v>
      </c>
      <c r="E66" s="174">
        <v>0</v>
      </c>
      <c r="F66" s="174">
        <v>0</v>
      </c>
      <c r="G66" s="174">
        <v>0</v>
      </c>
      <c r="H66" s="201">
        <f t="shared" si="1"/>
        <v>5</v>
      </c>
      <c r="I66" s="199">
        <f t="shared" si="2"/>
        <v>0.1783065160333219</v>
      </c>
    </row>
    <row r="67" spans="1:9" ht="16.5" x14ac:dyDescent="0.25">
      <c r="A67" s="159" t="s">
        <v>19</v>
      </c>
      <c r="B67" s="174">
        <v>1</v>
      </c>
      <c r="C67" s="174">
        <v>0</v>
      </c>
      <c r="D67" s="174">
        <v>1</v>
      </c>
      <c r="E67" s="174">
        <v>0</v>
      </c>
      <c r="F67" s="174">
        <v>0</v>
      </c>
      <c r="G67" s="174">
        <v>0</v>
      </c>
      <c r="H67" s="201">
        <f t="shared" ref="H67:H68" si="14">SUM(B67:G67)</f>
        <v>2</v>
      </c>
      <c r="I67" s="199">
        <f t="shared" si="2"/>
        <v>7.1322606413328771E-2</v>
      </c>
    </row>
    <row r="68" spans="1:9" ht="16.5" x14ac:dyDescent="0.25">
      <c r="A68" s="159" t="s">
        <v>58</v>
      </c>
      <c r="B68" s="174">
        <v>0</v>
      </c>
      <c r="C68" s="174">
        <v>0</v>
      </c>
      <c r="D68" s="174">
        <v>1</v>
      </c>
      <c r="E68" s="174">
        <v>0</v>
      </c>
      <c r="F68" s="174">
        <v>0</v>
      </c>
      <c r="G68" s="174">
        <v>0</v>
      </c>
      <c r="H68" s="201">
        <f t="shared" si="14"/>
        <v>1</v>
      </c>
      <c r="I68" s="199">
        <f t="shared" si="2"/>
        <v>3.5661303206664385E-2</v>
      </c>
    </row>
    <row r="69" spans="1:9" ht="14.25" x14ac:dyDescent="0.2">
      <c r="A69" s="69" t="s">
        <v>62</v>
      </c>
      <c r="B69" s="207">
        <v>2804160</v>
      </c>
      <c r="C69" s="207"/>
      <c r="D69" s="207"/>
      <c r="E69" s="207"/>
      <c r="F69" s="207"/>
      <c r="G69" s="207"/>
      <c r="H69" s="207"/>
      <c r="I69" s="207"/>
    </row>
    <row r="70" spans="1:9" ht="14.25" x14ac:dyDescent="0.2">
      <c r="A70" s="69" t="s">
        <v>13</v>
      </c>
      <c r="B70" s="70"/>
      <c r="C70" s="71"/>
      <c r="D70" s="72"/>
      <c r="E70" s="70"/>
      <c r="F70" s="71"/>
      <c r="G70" s="73"/>
      <c r="H70" s="69"/>
      <c r="I70" s="69"/>
    </row>
    <row r="71" spans="1:9" x14ac:dyDescent="0.2">
      <c r="A71" s="208" t="s">
        <v>14</v>
      </c>
      <c r="B71" s="209"/>
      <c r="C71" s="209"/>
      <c r="D71" s="209"/>
      <c r="E71" s="209"/>
      <c r="F71" s="209"/>
      <c r="G71" s="209"/>
      <c r="H71" s="209"/>
      <c r="I71" s="209"/>
    </row>
    <row r="72" spans="1:9" ht="14.25" x14ac:dyDescent="0.2">
      <c r="A72" s="74" t="s">
        <v>81</v>
      </c>
      <c r="B72" s="70"/>
      <c r="C72" s="71"/>
      <c r="D72" s="72"/>
      <c r="E72" s="70"/>
      <c r="F72" s="71"/>
      <c r="G72" s="73"/>
      <c r="H72" s="69"/>
      <c r="I72" s="69"/>
    </row>
    <row r="73" spans="1:9" ht="14.25" x14ac:dyDescent="0.2">
      <c r="A73" s="177" t="s">
        <v>78</v>
      </c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47"/>
  <sheetViews>
    <sheetView topLeftCell="A67" zoomScale="70" workbookViewId="0">
      <selection activeCell="A87" sqref="A87"/>
    </sheetView>
  </sheetViews>
  <sheetFormatPr defaultColWidth="11.5" defaultRowHeight="15" x14ac:dyDescent="0.2"/>
  <cols>
    <col min="1" max="1" width="56" style="1" customWidth="1"/>
    <col min="2" max="3" width="12" style="1" customWidth="1"/>
    <col min="4" max="4" width="12" style="22" customWidth="1"/>
    <col min="5" max="7" width="12" style="1" customWidth="1"/>
    <col min="8" max="8" width="11.83203125" style="1" customWidth="1"/>
    <col min="9" max="9" width="18.5" style="1" customWidth="1"/>
    <col min="10" max="10" width="5.83203125" style="1" customWidth="1"/>
    <col min="11" max="11" width="11.6640625" style="1" bestFit="1" customWidth="1"/>
    <col min="12" max="12" width="10.33203125" style="1" bestFit="1" customWidth="1"/>
    <col min="13" max="13" width="9.6640625" style="1" bestFit="1" customWidth="1"/>
    <col min="14" max="14" width="11.5" style="1" customWidth="1"/>
    <col min="15" max="15" width="10" style="1" customWidth="1"/>
    <col min="16" max="16" width="10.1640625" style="1" customWidth="1"/>
    <col min="17" max="16384" width="11.5" style="1"/>
  </cols>
  <sheetData>
    <row r="1" spans="1:15" s="20" customFormat="1" ht="30.75" customHeight="1" x14ac:dyDescent="0.3">
      <c r="A1" s="97" t="s">
        <v>68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</row>
    <row r="2" spans="1:15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</row>
    <row r="3" spans="1:15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</row>
    <row r="4" spans="1:15" s="37" customFormat="1" ht="17.100000000000001" customHeight="1" x14ac:dyDescent="0.25">
      <c r="A4" s="32" t="s">
        <v>48</v>
      </c>
      <c r="B4" s="33">
        <f t="shared" ref="B4:G4" si="0">SUM(B5:B9)</f>
        <v>2239</v>
      </c>
      <c r="C4" s="34">
        <f t="shared" si="0"/>
        <v>1605</v>
      </c>
      <c r="D4" s="31">
        <f t="shared" si="0"/>
        <v>3790</v>
      </c>
      <c r="E4" s="34">
        <f t="shared" si="0"/>
        <v>2152</v>
      </c>
      <c r="F4" s="31">
        <f t="shared" si="0"/>
        <v>444</v>
      </c>
      <c r="G4" s="35">
        <f t="shared" si="0"/>
        <v>316</v>
      </c>
      <c r="H4" s="36">
        <f>SUM(B4:G4)</f>
        <v>10546</v>
      </c>
      <c r="I4" s="62">
        <f t="shared" ref="I4:I13" si="1">H4/B$83 * 100000</f>
        <v>424.66555473498471</v>
      </c>
      <c r="J4" s="38"/>
      <c r="K4" s="86"/>
      <c r="L4" s="84"/>
      <c r="M4" s="84"/>
      <c r="N4" s="84"/>
      <c r="O4" s="84"/>
    </row>
    <row r="5" spans="1:15" ht="17.100000000000001" customHeight="1" x14ac:dyDescent="0.25">
      <c r="A5" s="159" t="s">
        <v>17</v>
      </c>
      <c r="B5" s="102">
        <v>2160</v>
      </c>
      <c r="C5" s="103">
        <v>1402</v>
      </c>
      <c r="D5" s="104">
        <v>3449</v>
      </c>
      <c r="E5" s="103">
        <v>2027</v>
      </c>
      <c r="F5" s="104">
        <v>431</v>
      </c>
      <c r="G5" s="105">
        <v>312</v>
      </c>
      <c r="H5" s="106">
        <f t="shared" ref="H5:H68" si="2">SUM(B5:G5)</f>
        <v>9781</v>
      </c>
      <c r="I5" s="107">
        <f t="shared" si="1"/>
        <v>393.8605908271274</v>
      </c>
      <c r="K5" s="84"/>
      <c r="L5" s="84"/>
      <c r="M5" s="84"/>
      <c r="N5" s="84"/>
      <c r="O5" s="84"/>
    </row>
    <row r="6" spans="1:15" ht="17.100000000000001" customHeight="1" x14ac:dyDescent="0.25">
      <c r="A6" s="159" t="s">
        <v>18</v>
      </c>
      <c r="B6" s="102">
        <v>20</v>
      </c>
      <c r="C6" s="103">
        <v>36</v>
      </c>
      <c r="D6" s="104">
        <v>82</v>
      </c>
      <c r="E6" s="103">
        <v>29</v>
      </c>
      <c r="F6" s="104">
        <v>3</v>
      </c>
      <c r="G6" s="105">
        <v>3</v>
      </c>
      <c r="H6" s="106">
        <f t="shared" si="2"/>
        <v>173</v>
      </c>
      <c r="I6" s="107">
        <f t="shared" si="1"/>
        <v>6.9663513151102174</v>
      </c>
      <c r="K6" s="84"/>
      <c r="L6" s="84"/>
      <c r="M6" s="84"/>
      <c r="N6" s="84"/>
      <c r="O6" s="84"/>
    </row>
    <row r="7" spans="1:15" ht="17.100000000000001" customHeight="1" x14ac:dyDescent="0.25">
      <c r="A7" s="159" t="s">
        <v>19</v>
      </c>
      <c r="B7" s="102">
        <v>49</v>
      </c>
      <c r="C7" s="103">
        <v>151</v>
      </c>
      <c r="D7" s="104">
        <v>222</v>
      </c>
      <c r="E7" s="103">
        <v>80</v>
      </c>
      <c r="F7" s="104">
        <v>9</v>
      </c>
      <c r="G7" s="105">
        <v>0</v>
      </c>
      <c r="H7" s="106">
        <f t="shared" si="2"/>
        <v>511</v>
      </c>
      <c r="I7" s="107">
        <f t="shared" si="1"/>
        <v>20.57691053191515</v>
      </c>
      <c r="K7" s="84"/>
      <c r="L7" s="84"/>
      <c r="M7" s="84"/>
      <c r="N7" s="84"/>
      <c r="O7" s="84"/>
    </row>
    <row r="8" spans="1:15" ht="17.100000000000001" customHeight="1" x14ac:dyDescent="0.25">
      <c r="A8" s="159" t="s">
        <v>38</v>
      </c>
      <c r="B8" s="108">
        <v>1</v>
      </c>
      <c r="C8" s="109">
        <v>7</v>
      </c>
      <c r="D8" s="110">
        <v>15</v>
      </c>
      <c r="E8" s="109">
        <v>5</v>
      </c>
      <c r="F8" s="110">
        <v>0</v>
      </c>
      <c r="G8" s="111">
        <v>0</v>
      </c>
      <c r="H8" s="106">
        <f t="shared" si="2"/>
        <v>28</v>
      </c>
      <c r="I8" s="107">
        <f t="shared" si="1"/>
        <v>1.1275019469542549</v>
      </c>
      <c r="K8" s="84"/>
      <c r="L8" s="84"/>
      <c r="M8" s="84"/>
      <c r="N8" s="84"/>
      <c r="O8" s="84"/>
    </row>
    <row r="9" spans="1:15" ht="17.100000000000001" customHeight="1" x14ac:dyDescent="0.25">
      <c r="A9" s="160" t="s">
        <v>20</v>
      </c>
      <c r="B9" s="108">
        <v>9</v>
      </c>
      <c r="C9" s="109">
        <v>9</v>
      </c>
      <c r="D9" s="110">
        <v>22</v>
      </c>
      <c r="E9" s="109">
        <v>11</v>
      </c>
      <c r="F9" s="110">
        <v>1</v>
      </c>
      <c r="G9" s="111">
        <v>1</v>
      </c>
      <c r="H9" s="112">
        <f>SUM(B9:G9)</f>
        <v>53</v>
      </c>
      <c r="I9" s="113">
        <f t="shared" si="1"/>
        <v>2.1342001138776965</v>
      </c>
      <c r="K9" s="84"/>
      <c r="L9" s="84"/>
      <c r="M9" s="84"/>
      <c r="N9" s="84"/>
      <c r="O9" s="84"/>
    </row>
    <row r="10" spans="1:15" ht="17.100000000000001" customHeight="1" x14ac:dyDescent="0.25">
      <c r="A10" s="32" t="s">
        <v>60</v>
      </c>
      <c r="B10" s="33">
        <f t="shared" ref="B10:G10" si="3">SUM(B11:B15)</f>
        <v>41</v>
      </c>
      <c r="C10" s="34">
        <f t="shared" si="3"/>
        <v>4</v>
      </c>
      <c r="D10" s="31">
        <f t="shared" si="3"/>
        <v>16</v>
      </c>
      <c r="E10" s="34">
        <f t="shared" si="3"/>
        <v>11</v>
      </c>
      <c r="F10" s="31">
        <f t="shared" si="3"/>
        <v>1</v>
      </c>
      <c r="G10" s="35">
        <f t="shared" si="3"/>
        <v>0</v>
      </c>
      <c r="H10" s="36">
        <f t="shared" si="2"/>
        <v>73</v>
      </c>
      <c r="I10" s="62">
        <f t="shared" si="1"/>
        <v>2.9395586474164501</v>
      </c>
      <c r="J10" s="37"/>
      <c r="K10" s="84"/>
      <c r="L10" s="84"/>
      <c r="M10" s="84"/>
      <c r="N10" s="84"/>
      <c r="O10" s="84"/>
    </row>
    <row r="11" spans="1:15" ht="17.100000000000001" customHeight="1" x14ac:dyDescent="0.25">
      <c r="A11" s="159" t="s">
        <v>17</v>
      </c>
      <c r="B11" s="102">
        <v>37</v>
      </c>
      <c r="C11" s="103">
        <v>4</v>
      </c>
      <c r="D11" s="104">
        <v>12</v>
      </c>
      <c r="E11" s="103">
        <v>11</v>
      </c>
      <c r="F11" s="104">
        <v>1</v>
      </c>
      <c r="G11" s="105">
        <v>0</v>
      </c>
      <c r="H11" s="106">
        <f t="shared" si="2"/>
        <v>65</v>
      </c>
      <c r="I11" s="107">
        <f t="shared" si="1"/>
        <v>2.6174152340009487</v>
      </c>
      <c r="J11" s="30"/>
      <c r="K11" s="84"/>
      <c r="L11" s="84"/>
      <c r="M11" s="84"/>
      <c r="N11" s="84"/>
      <c r="O11" s="84"/>
    </row>
    <row r="12" spans="1:15" ht="17.100000000000001" customHeight="1" x14ac:dyDescent="0.25">
      <c r="A12" s="159" t="s">
        <v>18</v>
      </c>
      <c r="B12" s="102">
        <v>1</v>
      </c>
      <c r="C12" s="103">
        <v>0</v>
      </c>
      <c r="D12" s="104">
        <v>4</v>
      </c>
      <c r="E12" s="103">
        <v>0</v>
      </c>
      <c r="F12" s="104">
        <v>0</v>
      </c>
      <c r="G12" s="105">
        <v>0</v>
      </c>
      <c r="H12" s="106">
        <f>SUM(B12:G12)</f>
        <v>5</v>
      </c>
      <c r="I12" s="114">
        <f t="shared" si="1"/>
        <v>0.20133963338468835</v>
      </c>
      <c r="J12" s="30"/>
      <c r="K12" s="84"/>
      <c r="L12" s="84"/>
      <c r="M12" s="84"/>
      <c r="N12" s="84"/>
      <c r="O12" s="84"/>
    </row>
    <row r="13" spans="1:15" s="37" customFormat="1" ht="17.100000000000001" customHeight="1" x14ac:dyDescent="0.25">
      <c r="A13" s="159" t="s">
        <v>19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  <c r="J13" s="30"/>
      <c r="K13" s="84"/>
      <c r="L13" s="84"/>
      <c r="M13" s="84"/>
      <c r="N13" s="84"/>
      <c r="O13" s="84"/>
    </row>
    <row r="14" spans="1:15" s="30" customFormat="1" ht="17.100000000000001" customHeight="1" x14ac:dyDescent="0.25">
      <c r="A14" s="159" t="s">
        <v>20</v>
      </c>
      <c r="B14" s="102">
        <v>0</v>
      </c>
      <c r="C14" s="103">
        <v>0</v>
      </c>
      <c r="D14" s="104">
        <v>0</v>
      </c>
      <c r="E14" s="103">
        <v>0</v>
      </c>
      <c r="F14" s="104">
        <v>0</v>
      </c>
      <c r="G14" s="105">
        <v>0</v>
      </c>
      <c r="H14" s="106">
        <f>SUM(B14:G14)</f>
        <v>0</v>
      </c>
      <c r="I14" s="156" t="e">
        <f>H14/#REF! * 100000</f>
        <v>#REF!</v>
      </c>
      <c r="J14" s="157"/>
    </row>
    <row r="15" spans="1:15" s="30" customFormat="1" ht="17.100000000000001" customHeight="1" x14ac:dyDescent="0.25">
      <c r="A15" s="160" t="s">
        <v>40</v>
      </c>
      <c r="B15" s="115">
        <v>3</v>
      </c>
      <c r="C15" s="116">
        <v>0</v>
      </c>
      <c r="D15" s="117">
        <v>0</v>
      </c>
      <c r="E15" s="116">
        <v>0</v>
      </c>
      <c r="F15" s="117">
        <v>0</v>
      </c>
      <c r="G15" s="118">
        <v>0</v>
      </c>
      <c r="H15" s="119">
        <f t="shared" si="2"/>
        <v>3</v>
      </c>
      <c r="I15" s="151">
        <f t="shared" ref="I15:I46" si="4">H15/B$83 * 100000</f>
        <v>0.12080378003081303</v>
      </c>
      <c r="J15" s="1"/>
      <c r="K15" s="84"/>
      <c r="L15" s="84"/>
      <c r="M15" s="84"/>
      <c r="N15" s="84"/>
      <c r="O15" s="84"/>
    </row>
    <row r="16" spans="1:15" s="30" customFormat="1" ht="17.100000000000001" customHeight="1" x14ac:dyDescent="0.25">
      <c r="A16" s="32" t="s">
        <v>49</v>
      </c>
      <c r="B16" s="33">
        <f t="shared" ref="B16:G16" si="5">SUM(B17:B20)</f>
        <v>18527</v>
      </c>
      <c r="C16" s="34">
        <f t="shared" si="5"/>
        <v>2450</v>
      </c>
      <c r="D16" s="31">
        <f t="shared" si="5"/>
        <v>6438</v>
      </c>
      <c r="E16" s="34">
        <f t="shared" si="5"/>
        <v>7736</v>
      </c>
      <c r="F16" s="31">
        <f t="shared" si="5"/>
        <v>3298</v>
      </c>
      <c r="G16" s="35">
        <f t="shared" si="5"/>
        <v>6384</v>
      </c>
      <c r="H16" s="36">
        <f t="shared" si="2"/>
        <v>44833</v>
      </c>
      <c r="I16" s="75">
        <f t="shared" si="4"/>
        <v>1805.3319567071467</v>
      </c>
      <c r="J16" s="37"/>
      <c r="K16" s="84"/>
      <c r="L16" s="84"/>
      <c r="M16" s="84"/>
      <c r="N16" s="84"/>
      <c r="O16" s="84"/>
    </row>
    <row r="17" spans="1:15" s="30" customFormat="1" ht="17.100000000000001" customHeight="1" x14ac:dyDescent="0.25">
      <c r="A17" s="159" t="s">
        <v>17</v>
      </c>
      <c r="B17" s="102">
        <v>18511</v>
      </c>
      <c r="C17" s="103">
        <v>2445</v>
      </c>
      <c r="D17" s="104">
        <v>6417</v>
      </c>
      <c r="E17" s="103">
        <v>7731</v>
      </c>
      <c r="F17" s="104">
        <v>3296</v>
      </c>
      <c r="G17" s="105">
        <v>6384</v>
      </c>
      <c r="H17" s="106">
        <f t="shared" si="2"/>
        <v>44784</v>
      </c>
      <c r="I17" s="121">
        <f t="shared" si="4"/>
        <v>1803.3588282999765</v>
      </c>
      <c r="K17" s="84"/>
      <c r="L17" s="84"/>
      <c r="M17" s="84"/>
      <c r="N17" s="84"/>
      <c r="O17" s="84"/>
    </row>
    <row r="18" spans="1:15" s="30" customFormat="1" ht="17.100000000000001" customHeight="1" x14ac:dyDescent="0.25">
      <c r="A18" s="159" t="s">
        <v>18</v>
      </c>
      <c r="B18" s="102">
        <v>1</v>
      </c>
      <c r="C18" s="103">
        <v>0</v>
      </c>
      <c r="D18" s="104">
        <v>1</v>
      </c>
      <c r="E18" s="103">
        <v>0</v>
      </c>
      <c r="F18" s="104">
        <v>0</v>
      </c>
      <c r="G18" s="105">
        <v>0</v>
      </c>
      <c r="H18" s="106">
        <f t="shared" si="2"/>
        <v>2</v>
      </c>
      <c r="I18" s="122">
        <f t="shared" si="4"/>
        <v>8.053585335387535E-2</v>
      </c>
      <c r="K18" s="84"/>
      <c r="L18" s="84"/>
      <c r="M18" s="84"/>
      <c r="N18" s="84"/>
      <c r="O18" s="84"/>
    </row>
    <row r="19" spans="1:15" ht="17.100000000000001" customHeight="1" x14ac:dyDescent="0.25">
      <c r="A19" s="159" t="s">
        <v>19</v>
      </c>
      <c r="B19" s="102">
        <v>1</v>
      </c>
      <c r="C19" s="103">
        <v>0</v>
      </c>
      <c r="D19" s="104">
        <v>3</v>
      </c>
      <c r="E19" s="103">
        <v>0</v>
      </c>
      <c r="F19" s="104">
        <v>0</v>
      </c>
      <c r="G19" s="105">
        <v>0</v>
      </c>
      <c r="H19" s="106">
        <f>SUM(B19:G19)</f>
        <v>4</v>
      </c>
      <c r="I19" s="122">
        <f t="shared" si="4"/>
        <v>0.1610717067077507</v>
      </c>
      <c r="J19" s="30"/>
      <c r="K19" s="84"/>
      <c r="L19" s="84"/>
      <c r="M19" s="84"/>
      <c r="N19" s="84"/>
      <c r="O19" s="84"/>
    </row>
    <row r="20" spans="1:15" s="37" customFormat="1" ht="17.100000000000001" customHeight="1" x14ac:dyDescent="0.25">
      <c r="A20" s="161" t="s">
        <v>20</v>
      </c>
      <c r="B20" s="115">
        <v>14</v>
      </c>
      <c r="C20" s="116">
        <v>5</v>
      </c>
      <c r="D20" s="117">
        <v>17</v>
      </c>
      <c r="E20" s="116">
        <v>5</v>
      </c>
      <c r="F20" s="117">
        <v>2</v>
      </c>
      <c r="G20" s="118">
        <v>0</v>
      </c>
      <c r="H20" s="119">
        <f>SUM(B20:G20)</f>
        <v>43</v>
      </c>
      <c r="I20" s="123">
        <f t="shared" si="4"/>
        <v>1.7315208471083199</v>
      </c>
      <c r="J20" s="30"/>
      <c r="K20" s="84"/>
      <c r="L20" s="84"/>
      <c r="M20" s="84"/>
      <c r="N20" s="84"/>
      <c r="O20" s="84"/>
    </row>
    <row r="21" spans="1:15" s="30" customFormat="1" ht="17.100000000000001" customHeight="1" x14ac:dyDescent="0.25">
      <c r="A21" s="162" t="s">
        <v>50</v>
      </c>
      <c r="B21" s="33">
        <f t="shared" ref="B21:G21" si="6">SUM(B22:B25)</f>
        <v>64</v>
      </c>
      <c r="C21" s="34">
        <f t="shared" si="6"/>
        <v>43</v>
      </c>
      <c r="D21" s="31">
        <f t="shared" si="6"/>
        <v>109</v>
      </c>
      <c r="E21" s="34">
        <f t="shared" si="6"/>
        <v>89</v>
      </c>
      <c r="F21" s="31">
        <f t="shared" si="6"/>
        <v>16</v>
      </c>
      <c r="G21" s="35">
        <f t="shared" si="6"/>
        <v>7</v>
      </c>
      <c r="H21" s="124">
        <f t="shared" si="2"/>
        <v>328</v>
      </c>
      <c r="I21" s="125">
        <f t="shared" si="4"/>
        <v>13.207879950035556</v>
      </c>
      <c r="K21" s="84"/>
      <c r="L21" s="84"/>
      <c r="M21" s="84"/>
      <c r="N21" s="84"/>
      <c r="O21" s="84"/>
    </row>
    <row r="22" spans="1:15" s="30" customFormat="1" ht="17.100000000000001" customHeight="1" x14ac:dyDescent="0.25">
      <c r="A22" s="159" t="s">
        <v>17</v>
      </c>
      <c r="B22" s="102">
        <v>63</v>
      </c>
      <c r="C22" s="103">
        <v>38</v>
      </c>
      <c r="D22" s="104">
        <v>106</v>
      </c>
      <c r="E22" s="103">
        <v>83</v>
      </c>
      <c r="F22" s="104">
        <v>15</v>
      </c>
      <c r="G22" s="105">
        <v>7</v>
      </c>
      <c r="H22" s="106">
        <f t="shared" si="2"/>
        <v>312</v>
      </c>
      <c r="I22" s="121">
        <f t="shared" si="4"/>
        <v>12.563593123204555</v>
      </c>
      <c r="K22" s="84"/>
      <c r="L22" s="84"/>
      <c r="M22" s="84"/>
      <c r="N22" s="84"/>
      <c r="O22" s="84"/>
    </row>
    <row r="23" spans="1:15" s="30" customFormat="1" ht="17.100000000000001" customHeight="1" x14ac:dyDescent="0.25">
      <c r="A23" s="159" t="s">
        <v>18</v>
      </c>
      <c r="B23" s="102">
        <v>0</v>
      </c>
      <c r="C23" s="103">
        <v>0</v>
      </c>
      <c r="D23" s="104">
        <v>1</v>
      </c>
      <c r="E23" s="103">
        <v>0</v>
      </c>
      <c r="F23" s="104">
        <v>0</v>
      </c>
      <c r="G23" s="105">
        <v>0</v>
      </c>
      <c r="H23" s="106">
        <f t="shared" si="2"/>
        <v>1</v>
      </c>
      <c r="I23" s="122">
        <f t="shared" si="4"/>
        <v>4.0267926676937675E-2</v>
      </c>
      <c r="K23" s="84"/>
      <c r="L23" s="84"/>
      <c r="M23" s="84"/>
      <c r="N23" s="84"/>
      <c r="O23" s="84"/>
    </row>
    <row r="24" spans="1:15" s="30" customFormat="1" ht="17.100000000000001" customHeight="1" x14ac:dyDescent="0.25">
      <c r="A24" s="159" t="s">
        <v>19</v>
      </c>
      <c r="B24" s="102">
        <v>1</v>
      </c>
      <c r="C24" s="103">
        <v>2</v>
      </c>
      <c r="D24" s="104">
        <v>0</v>
      </c>
      <c r="E24" s="103">
        <v>0</v>
      </c>
      <c r="F24" s="104">
        <v>0</v>
      </c>
      <c r="G24" s="105">
        <v>0</v>
      </c>
      <c r="H24" s="106">
        <f t="shared" si="2"/>
        <v>3</v>
      </c>
      <c r="I24" s="122">
        <f t="shared" si="4"/>
        <v>0.12080378003081303</v>
      </c>
      <c r="K24" s="84"/>
      <c r="L24" s="84"/>
      <c r="M24" s="84"/>
      <c r="N24" s="84"/>
      <c r="O24" s="84"/>
    </row>
    <row r="25" spans="1:15" s="30" customFormat="1" ht="17.100000000000001" customHeight="1" x14ac:dyDescent="0.25">
      <c r="A25" s="161" t="s">
        <v>20</v>
      </c>
      <c r="B25" s="102">
        <v>0</v>
      </c>
      <c r="C25" s="103">
        <v>3</v>
      </c>
      <c r="D25" s="104">
        <v>2</v>
      </c>
      <c r="E25" s="103">
        <v>6</v>
      </c>
      <c r="F25" s="104">
        <v>1</v>
      </c>
      <c r="G25" s="105">
        <v>0</v>
      </c>
      <c r="H25" s="119">
        <f t="shared" si="2"/>
        <v>12</v>
      </c>
      <c r="I25" s="126">
        <f t="shared" si="4"/>
        <v>0.48321512012325213</v>
      </c>
      <c r="K25" s="84"/>
      <c r="L25" s="84"/>
      <c r="M25" s="84"/>
      <c r="N25" s="84"/>
      <c r="O25" s="84"/>
    </row>
    <row r="26" spans="1:15" s="30" customFormat="1" ht="17.100000000000001" customHeight="1" x14ac:dyDescent="0.25">
      <c r="A26" s="162" t="s">
        <v>51</v>
      </c>
      <c r="B26" s="33">
        <f t="shared" ref="B26:G26" si="7">SUM(B27:B30)</f>
        <v>531</v>
      </c>
      <c r="C26" s="34">
        <f t="shared" si="7"/>
        <v>254</v>
      </c>
      <c r="D26" s="31">
        <f t="shared" si="7"/>
        <v>530</v>
      </c>
      <c r="E26" s="34">
        <f t="shared" si="7"/>
        <v>397</v>
      </c>
      <c r="F26" s="31">
        <f t="shared" si="7"/>
        <v>85</v>
      </c>
      <c r="G26" s="35">
        <f t="shared" si="7"/>
        <v>45</v>
      </c>
      <c r="H26" s="124">
        <f t="shared" si="2"/>
        <v>1842</v>
      </c>
      <c r="I26" s="125">
        <f t="shared" si="4"/>
        <v>74.173520938919197</v>
      </c>
      <c r="K26" s="84"/>
      <c r="L26" s="84"/>
      <c r="M26" s="84"/>
      <c r="N26" s="84"/>
      <c r="O26" s="84"/>
    </row>
    <row r="27" spans="1:15" s="30" customFormat="1" ht="17.100000000000001" customHeight="1" x14ac:dyDescent="0.25">
      <c r="A27" s="159" t="s">
        <v>17</v>
      </c>
      <c r="B27" s="102">
        <v>528</v>
      </c>
      <c r="C27" s="103">
        <v>253</v>
      </c>
      <c r="D27" s="104">
        <v>527</v>
      </c>
      <c r="E27" s="103">
        <v>394</v>
      </c>
      <c r="F27" s="104">
        <v>85</v>
      </c>
      <c r="G27" s="105">
        <v>45</v>
      </c>
      <c r="H27" s="106">
        <f>SUM(B27:G27)</f>
        <v>1832</v>
      </c>
      <c r="I27" s="121">
        <f t="shared" si="4"/>
        <v>73.770841672149814</v>
      </c>
      <c r="K27" s="84"/>
      <c r="L27" s="84"/>
      <c r="M27" s="84"/>
      <c r="N27" s="84"/>
      <c r="O27" s="84"/>
    </row>
    <row r="28" spans="1:15" s="30" customFormat="1" ht="17.100000000000001" customHeight="1" x14ac:dyDescent="0.25">
      <c r="A28" s="159" t="s">
        <v>18</v>
      </c>
      <c r="B28" s="102">
        <v>0</v>
      </c>
      <c r="C28" s="103">
        <v>0</v>
      </c>
      <c r="D28" s="104">
        <v>0</v>
      </c>
      <c r="E28" s="103">
        <v>0</v>
      </c>
      <c r="F28" s="104">
        <v>0</v>
      </c>
      <c r="G28" s="105">
        <v>0</v>
      </c>
      <c r="H28" s="106">
        <f>SUM(B28:G28)</f>
        <v>0</v>
      </c>
      <c r="I28" s="121">
        <f t="shared" si="4"/>
        <v>0</v>
      </c>
      <c r="K28" s="84"/>
      <c r="L28" s="84"/>
      <c r="M28" s="84"/>
      <c r="N28" s="84"/>
      <c r="O28" s="84"/>
    </row>
    <row r="29" spans="1:15" s="30" customFormat="1" ht="17.100000000000001" customHeight="1" x14ac:dyDescent="0.25">
      <c r="A29" s="159" t="s">
        <v>19</v>
      </c>
      <c r="B29" s="102">
        <v>2</v>
      </c>
      <c r="C29" s="103">
        <v>0</v>
      </c>
      <c r="D29" s="104">
        <v>1</v>
      </c>
      <c r="E29" s="103">
        <v>2</v>
      </c>
      <c r="F29" s="104">
        <v>0</v>
      </c>
      <c r="G29" s="105">
        <v>0</v>
      </c>
      <c r="H29" s="106">
        <f>SUM(B29:G29)</f>
        <v>5</v>
      </c>
      <c r="I29" s="122">
        <f t="shared" si="4"/>
        <v>0.20133963338468835</v>
      </c>
      <c r="K29" s="84"/>
      <c r="L29" s="84"/>
      <c r="M29" s="84"/>
      <c r="N29" s="84"/>
      <c r="O29" s="84"/>
    </row>
    <row r="30" spans="1:15" s="30" customFormat="1" ht="17.100000000000001" customHeight="1" x14ac:dyDescent="0.25">
      <c r="A30" s="160" t="s">
        <v>20</v>
      </c>
      <c r="B30" s="127">
        <v>1</v>
      </c>
      <c r="C30" s="128">
        <v>1</v>
      </c>
      <c r="D30" s="129">
        <v>2</v>
      </c>
      <c r="E30" s="128">
        <v>1</v>
      </c>
      <c r="F30" s="129">
        <v>0</v>
      </c>
      <c r="G30" s="130">
        <v>0</v>
      </c>
      <c r="H30" s="131">
        <f t="shared" si="2"/>
        <v>5</v>
      </c>
      <c r="I30" s="132">
        <f t="shared" si="4"/>
        <v>0.20133963338468835</v>
      </c>
      <c r="J30" s="1"/>
      <c r="K30" s="84"/>
      <c r="L30" s="84"/>
      <c r="M30" s="84"/>
      <c r="N30" s="84"/>
      <c r="O30" s="84"/>
    </row>
    <row r="31" spans="1:15" s="37" customFormat="1" ht="17.100000000000001" customHeight="1" x14ac:dyDescent="0.25">
      <c r="A31" s="32" t="s">
        <v>52</v>
      </c>
      <c r="B31" s="33">
        <f t="shared" ref="B31:G31" si="8">SUM(B32:B36)</f>
        <v>38</v>
      </c>
      <c r="C31" s="34">
        <f t="shared" si="8"/>
        <v>108</v>
      </c>
      <c r="D31" s="31">
        <f t="shared" si="8"/>
        <v>142</v>
      </c>
      <c r="E31" s="34">
        <f t="shared" si="8"/>
        <v>44</v>
      </c>
      <c r="F31" s="31">
        <f t="shared" si="8"/>
        <v>7</v>
      </c>
      <c r="G31" s="35">
        <f t="shared" si="8"/>
        <v>0</v>
      </c>
      <c r="H31" s="36">
        <f t="shared" si="2"/>
        <v>339</v>
      </c>
      <c r="I31" s="75">
        <f t="shared" si="4"/>
        <v>13.650827143481871</v>
      </c>
      <c r="K31" s="84"/>
      <c r="L31" s="84"/>
      <c r="M31" s="84"/>
      <c r="N31" s="84"/>
      <c r="O31" s="84"/>
    </row>
    <row r="32" spans="1:15" s="30" customFormat="1" ht="17.100000000000001" customHeight="1" x14ac:dyDescent="0.25">
      <c r="A32" s="159" t="s">
        <v>17</v>
      </c>
      <c r="B32" s="102">
        <v>10</v>
      </c>
      <c r="C32" s="103">
        <v>33</v>
      </c>
      <c r="D32" s="104">
        <v>42</v>
      </c>
      <c r="E32" s="103">
        <v>20</v>
      </c>
      <c r="F32" s="104">
        <v>4</v>
      </c>
      <c r="G32" s="105">
        <v>0</v>
      </c>
      <c r="H32" s="106">
        <f t="shared" si="2"/>
        <v>109</v>
      </c>
      <c r="I32" s="121">
        <f t="shared" si="4"/>
        <v>4.3892040077862067</v>
      </c>
      <c r="K32" s="84"/>
      <c r="L32" s="84"/>
      <c r="M32" s="84"/>
      <c r="N32" s="84"/>
      <c r="O32" s="84"/>
    </row>
    <row r="33" spans="1:15" s="30" customFormat="1" ht="17.100000000000001" customHeight="1" x14ac:dyDescent="0.25">
      <c r="A33" s="159" t="s">
        <v>18</v>
      </c>
      <c r="B33" s="102">
        <v>0</v>
      </c>
      <c r="C33" s="103">
        <v>0</v>
      </c>
      <c r="D33" s="104">
        <v>0</v>
      </c>
      <c r="E33" s="103">
        <v>1</v>
      </c>
      <c r="F33" s="104">
        <v>1</v>
      </c>
      <c r="G33" s="105">
        <v>0</v>
      </c>
      <c r="H33" s="106">
        <f t="shared" si="2"/>
        <v>2</v>
      </c>
      <c r="I33" s="122">
        <f t="shared" si="4"/>
        <v>8.053585335387535E-2</v>
      </c>
      <c r="K33" s="84"/>
      <c r="L33" s="84"/>
      <c r="M33" s="84"/>
      <c r="N33" s="84"/>
      <c r="O33" s="84"/>
    </row>
    <row r="34" spans="1:15" s="30" customFormat="1" ht="17.100000000000001" customHeight="1" x14ac:dyDescent="0.25">
      <c r="A34" s="159" t="s">
        <v>19</v>
      </c>
      <c r="B34" s="102">
        <v>23</v>
      </c>
      <c r="C34" s="103">
        <v>60</v>
      </c>
      <c r="D34" s="104">
        <v>82</v>
      </c>
      <c r="E34" s="103">
        <v>21</v>
      </c>
      <c r="F34" s="104">
        <v>2</v>
      </c>
      <c r="G34" s="105">
        <v>0</v>
      </c>
      <c r="H34" s="106">
        <f t="shared" si="2"/>
        <v>188</v>
      </c>
      <c r="I34" s="121">
        <f t="shared" si="4"/>
        <v>7.5703702152642824</v>
      </c>
      <c r="K34" s="84"/>
      <c r="L34" s="84"/>
      <c r="M34" s="84"/>
      <c r="N34" s="84"/>
      <c r="O34" s="84"/>
    </row>
    <row r="35" spans="1:15" ht="17.100000000000001" customHeight="1" x14ac:dyDescent="0.25">
      <c r="A35" s="159" t="s">
        <v>38</v>
      </c>
      <c r="B35" s="108">
        <v>0</v>
      </c>
      <c r="C35" s="109">
        <v>1</v>
      </c>
      <c r="D35" s="110">
        <v>6</v>
      </c>
      <c r="E35" s="109">
        <v>0</v>
      </c>
      <c r="F35" s="110">
        <v>0</v>
      </c>
      <c r="G35" s="111">
        <v>0</v>
      </c>
      <c r="H35" s="106">
        <f t="shared" si="2"/>
        <v>7</v>
      </c>
      <c r="I35" s="107">
        <f t="shared" si="4"/>
        <v>0.28187548673856372</v>
      </c>
      <c r="K35" s="84"/>
      <c r="L35" s="84"/>
      <c r="M35" s="84"/>
      <c r="N35" s="84"/>
      <c r="O35" s="84"/>
    </row>
    <row r="36" spans="1:15" s="30" customFormat="1" ht="17.100000000000001" customHeight="1" x14ac:dyDescent="0.25">
      <c r="A36" s="160" t="s">
        <v>20</v>
      </c>
      <c r="B36" s="102">
        <v>5</v>
      </c>
      <c r="C36" s="103">
        <v>14</v>
      </c>
      <c r="D36" s="104">
        <v>12</v>
      </c>
      <c r="E36" s="103">
        <v>2</v>
      </c>
      <c r="F36" s="104">
        <v>0</v>
      </c>
      <c r="G36" s="105">
        <v>0</v>
      </c>
      <c r="H36" s="106">
        <f t="shared" si="2"/>
        <v>33</v>
      </c>
      <c r="I36" s="121">
        <f t="shared" si="4"/>
        <v>1.3288415803389431</v>
      </c>
      <c r="K36" s="84"/>
      <c r="L36" s="84"/>
      <c r="M36" s="84"/>
      <c r="N36" s="84"/>
      <c r="O36" s="84"/>
    </row>
    <row r="37" spans="1:15" s="30" customFormat="1" ht="17.100000000000001" customHeight="1" x14ac:dyDescent="0.25">
      <c r="A37" s="39" t="s">
        <v>12</v>
      </c>
      <c r="B37" s="40">
        <v>18</v>
      </c>
      <c r="C37" s="41">
        <v>28</v>
      </c>
      <c r="D37" s="42">
        <v>120</v>
      </c>
      <c r="E37" s="41">
        <v>97</v>
      </c>
      <c r="F37" s="42">
        <v>11</v>
      </c>
      <c r="G37" s="43">
        <v>8</v>
      </c>
      <c r="H37" s="44">
        <f t="shared" si="2"/>
        <v>282</v>
      </c>
      <c r="I37" s="76">
        <f t="shared" si="4"/>
        <v>11.355555322896423</v>
      </c>
      <c r="J37" s="37"/>
      <c r="K37" s="84"/>
      <c r="L37" s="84"/>
      <c r="M37" s="84"/>
      <c r="N37" s="84"/>
      <c r="O37" s="84"/>
    </row>
    <row r="38" spans="1:15" s="30" customFormat="1" ht="17.100000000000001" customHeight="1" x14ac:dyDescent="0.25">
      <c r="A38" s="32" t="s">
        <v>53</v>
      </c>
      <c r="B38" s="33">
        <f>SUM(B39+B45+B46+B47)</f>
        <v>2039</v>
      </c>
      <c r="C38" s="34">
        <f t="shared" ref="C38:H38" si="9">SUM(C39+C45+C46+C47)</f>
        <v>3563</v>
      </c>
      <c r="D38" s="31">
        <f t="shared" si="9"/>
        <v>5974</v>
      </c>
      <c r="E38" s="34">
        <f t="shared" si="9"/>
        <v>3651</v>
      </c>
      <c r="F38" s="31">
        <f t="shared" si="9"/>
        <v>827</v>
      </c>
      <c r="G38" s="35">
        <f t="shared" si="9"/>
        <v>442</v>
      </c>
      <c r="H38" s="36">
        <f t="shared" si="9"/>
        <v>16496</v>
      </c>
      <c r="I38" s="75">
        <f t="shared" si="4"/>
        <v>664.25971846276389</v>
      </c>
      <c r="J38" s="37"/>
      <c r="K38" s="84"/>
      <c r="L38" s="84"/>
      <c r="M38" s="84"/>
      <c r="N38" s="84"/>
      <c r="O38" s="84"/>
    </row>
    <row r="39" spans="1:15" s="30" customFormat="1" ht="17.100000000000001" customHeight="1" x14ac:dyDescent="0.25">
      <c r="A39" s="159" t="s">
        <v>17</v>
      </c>
      <c r="B39" s="102">
        <f t="shared" ref="B39:G39" si="10">SUM(B40:B44)</f>
        <v>2038</v>
      </c>
      <c r="C39" s="103">
        <f t="shared" si="10"/>
        <v>3559</v>
      </c>
      <c r="D39" s="104">
        <f t="shared" si="10"/>
        <v>5971</v>
      </c>
      <c r="E39" s="103">
        <f t="shared" si="10"/>
        <v>3650</v>
      </c>
      <c r="F39" s="104">
        <f t="shared" si="10"/>
        <v>827</v>
      </c>
      <c r="G39" s="105">
        <f t="shared" si="10"/>
        <v>442</v>
      </c>
      <c r="H39" s="106">
        <f t="shared" si="2"/>
        <v>16487</v>
      </c>
      <c r="I39" s="121">
        <f t="shared" si="4"/>
        <v>663.89730712267135</v>
      </c>
      <c r="K39" s="84"/>
      <c r="L39" s="84"/>
      <c r="M39" s="84"/>
      <c r="N39" s="84"/>
      <c r="O39" s="84"/>
    </row>
    <row r="40" spans="1:15" s="30" customFormat="1" ht="17.100000000000001" customHeight="1" x14ac:dyDescent="0.25">
      <c r="A40" s="159" t="s">
        <v>24</v>
      </c>
      <c r="B40" s="102">
        <v>1575</v>
      </c>
      <c r="C40" s="103">
        <v>2770</v>
      </c>
      <c r="D40" s="104">
        <v>4496</v>
      </c>
      <c r="E40" s="103">
        <v>2726</v>
      </c>
      <c r="F40" s="104">
        <v>639</v>
      </c>
      <c r="G40" s="105">
        <v>348</v>
      </c>
      <c r="H40" s="106">
        <f t="shared" si="2"/>
        <v>12554</v>
      </c>
      <c r="I40" s="121">
        <f t="shared" si="4"/>
        <v>505.52355150227555</v>
      </c>
      <c r="K40" s="84"/>
      <c r="L40" s="84"/>
      <c r="M40" s="84"/>
      <c r="N40" s="84"/>
      <c r="O40" s="84"/>
    </row>
    <row r="41" spans="1:15" s="30" customFormat="1" ht="17.100000000000001" customHeight="1" x14ac:dyDescent="0.25">
      <c r="A41" s="159" t="s">
        <v>25</v>
      </c>
      <c r="B41" s="102">
        <v>50</v>
      </c>
      <c r="C41" s="103">
        <v>215</v>
      </c>
      <c r="D41" s="104">
        <v>402</v>
      </c>
      <c r="E41" s="103">
        <v>145</v>
      </c>
      <c r="F41" s="104">
        <v>17</v>
      </c>
      <c r="G41" s="105">
        <v>4</v>
      </c>
      <c r="H41" s="106">
        <f t="shared" si="2"/>
        <v>833</v>
      </c>
      <c r="I41" s="121">
        <f t="shared" si="4"/>
        <v>33.543182921889084</v>
      </c>
      <c r="K41" s="84"/>
      <c r="L41" s="84"/>
      <c r="M41" s="84"/>
      <c r="N41" s="84"/>
      <c r="O41" s="84"/>
    </row>
    <row r="42" spans="1:15" s="30" customFormat="1" ht="17.100000000000001" customHeight="1" x14ac:dyDescent="0.25">
      <c r="A42" s="159" t="s">
        <v>26</v>
      </c>
      <c r="B42" s="102">
        <v>69</v>
      </c>
      <c r="C42" s="103">
        <v>56</v>
      </c>
      <c r="D42" s="104">
        <v>115</v>
      </c>
      <c r="E42" s="103">
        <v>96</v>
      </c>
      <c r="F42" s="104">
        <v>14</v>
      </c>
      <c r="G42" s="105">
        <v>6</v>
      </c>
      <c r="H42" s="106">
        <f t="shared" si="2"/>
        <v>356</v>
      </c>
      <c r="I42" s="121">
        <f t="shared" si="4"/>
        <v>14.335381896989812</v>
      </c>
      <c r="K42" s="84"/>
      <c r="L42" s="84"/>
      <c r="M42" s="84"/>
      <c r="N42" s="84"/>
      <c r="O42" s="84"/>
    </row>
    <row r="43" spans="1:15" s="30" customFormat="1" ht="17.100000000000001" customHeight="1" x14ac:dyDescent="0.25">
      <c r="A43" s="159" t="s">
        <v>27</v>
      </c>
      <c r="B43" s="102">
        <v>168</v>
      </c>
      <c r="C43" s="103">
        <v>139</v>
      </c>
      <c r="D43" s="104">
        <v>256</v>
      </c>
      <c r="E43" s="103">
        <v>260</v>
      </c>
      <c r="F43" s="104">
        <v>53</v>
      </c>
      <c r="G43" s="105">
        <v>34</v>
      </c>
      <c r="H43" s="106">
        <f t="shared" si="2"/>
        <v>910</v>
      </c>
      <c r="I43" s="121">
        <f t="shared" si="4"/>
        <v>36.643813276013283</v>
      </c>
      <c r="K43" s="84"/>
      <c r="L43" s="84"/>
      <c r="M43" s="84"/>
      <c r="N43" s="84"/>
      <c r="O43" s="84"/>
    </row>
    <row r="44" spans="1:15" s="30" customFormat="1" ht="17.100000000000001" customHeight="1" x14ac:dyDescent="0.25">
      <c r="A44" s="159" t="s">
        <v>28</v>
      </c>
      <c r="B44" s="102">
        <v>176</v>
      </c>
      <c r="C44" s="103">
        <v>379</v>
      </c>
      <c r="D44" s="104">
        <v>702</v>
      </c>
      <c r="E44" s="103">
        <v>423</v>
      </c>
      <c r="F44" s="104">
        <v>104</v>
      </c>
      <c r="G44" s="105">
        <v>50</v>
      </c>
      <c r="H44" s="106">
        <f t="shared" si="2"/>
        <v>1834</v>
      </c>
      <c r="I44" s="121">
        <f t="shared" si="4"/>
        <v>73.851377525503693</v>
      </c>
      <c r="K44" s="84"/>
      <c r="L44" s="84"/>
      <c r="M44" s="84"/>
      <c r="N44" s="84"/>
      <c r="O44" s="84"/>
    </row>
    <row r="45" spans="1:15" ht="17.100000000000001" customHeight="1" x14ac:dyDescent="0.25">
      <c r="A45" s="159" t="s">
        <v>18</v>
      </c>
      <c r="B45" s="102">
        <v>0</v>
      </c>
      <c r="C45" s="103">
        <v>0</v>
      </c>
      <c r="D45" s="104">
        <v>0</v>
      </c>
      <c r="E45" s="103">
        <v>0</v>
      </c>
      <c r="F45" s="104">
        <v>0</v>
      </c>
      <c r="G45" s="105">
        <v>0</v>
      </c>
      <c r="H45" s="106">
        <f t="shared" si="2"/>
        <v>0</v>
      </c>
      <c r="I45" s="121">
        <f t="shared" si="4"/>
        <v>0</v>
      </c>
      <c r="J45" s="30"/>
      <c r="K45" s="84"/>
      <c r="L45" s="84"/>
      <c r="M45" s="84"/>
      <c r="N45" s="84"/>
      <c r="O45" s="84"/>
    </row>
    <row r="46" spans="1:15" ht="17.100000000000001" customHeight="1" x14ac:dyDescent="0.25">
      <c r="A46" s="159" t="s">
        <v>19</v>
      </c>
      <c r="B46" s="133">
        <v>0</v>
      </c>
      <c r="C46" s="134">
        <v>2</v>
      </c>
      <c r="D46" s="135">
        <v>1</v>
      </c>
      <c r="E46" s="134">
        <v>1</v>
      </c>
      <c r="F46" s="135">
        <v>0</v>
      </c>
      <c r="G46" s="136">
        <v>0</v>
      </c>
      <c r="H46" s="106">
        <f>SUM(B46:G46)</f>
        <v>4</v>
      </c>
      <c r="I46" s="122">
        <f t="shared" si="4"/>
        <v>0.1610717067077507</v>
      </c>
      <c r="J46" s="30"/>
      <c r="K46" s="84"/>
      <c r="L46" s="84"/>
      <c r="M46" s="84"/>
      <c r="N46" s="84"/>
      <c r="O46" s="84"/>
    </row>
    <row r="47" spans="1:15" ht="17.100000000000001" customHeight="1" x14ac:dyDescent="0.25">
      <c r="A47" s="163" t="s">
        <v>21</v>
      </c>
      <c r="B47" s="137">
        <v>1</v>
      </c>
      <c r="C47" s="138">
        <v>2</v>
      </c>
      <c r="D47" s="139">
        <v>2</v>
      </c>
      <c r="E47" s="138">
        <v>0</v>
      </c>
      <c r="F47" s="139">
        <v>0</v>
      </c>
      <c r="G47" s="140">
        <v>0</v>
      </c>
      <c r="H47" s="141">
        <f>SUM(B47:G47)</f>
        <v>5</v>
      </c>
      <c r="I47" s="152">
        <f t="shared" ref="I47:I78" si="11">H47/B$83 * 100000</f>
        <v>0.20133963338468835</v>
      </c>
      <c r="K47" s="84"/>
      <c r="L47" s="84"/>
      <c r="M47" s="84"/>
      <c r="N47" s="84"/>
      <c r="O47" s="84"/>
    </row>
    <row r="48" spans="1:15" s="37" customFormat="1" ht="17.100000000000001" customHeight="1" x14ac:dyDescent="0.25">
      <c r="A48" s="39" t="s">
        <v>32</v>
      </c>
      <c r="B48" s="40">
        <v>730</v>
      </c>
      <c r="C48" s="41">
        <v>137</v>
      </c>
      <c r="D48" s="42">
        <v>417</v>
      </c>
      <c r="E48" s="41">
        <v>314</v>
      </c>
      <c r="F48" s="42">
        <v>33</v>
      </c>
      <c r="G48" s="43">
        <v>19</v>
      </c>
      <c r="H48" s="44">
        <f t="shared" si="2"/>
        <v>1650</v>
      </c>
      <c r="I48" s="76">
        <f t="shared" si="11"/>
        <v>66.442079016947162</v>
      </c>
      <c r="K48" s="84"/>
      <c r="L48" s="84"/>
      <c r="M48" s="84"/>
      <c r="N48" s="84"/>
      <c r="O48" s="84"/>
    </row>
    <row r="49" spans="1:16" s="30" customFormat="1" ht="17.100000000000001" customHeight="1" x14ac:dyDescent="0.25">
      <c r="A49" s="39" t="s">
        <v>33</v>
      </c>
      <c r="B49" s="40">
        <v>19</v>
      </c>
      <c r="C49" s="41">
        <v>6</v>
      </c>
      <c r="D49" s="42">
        <v>5</v>
      </c>
      <c r="E49" s="41">
        <v>18</v>
      </c>
      <c r="F49" s="42">
        <v>2</v>
      </c>
      <c r="G49" s="43">
        <v>2</v>
      </c>
      <c r="H49" s="44">
        <f t="shared" si="2"/>
        <v>52</v>
      </c>
      <c r="I49" s="76">
        <f t="shared" si="11"/>
        <v>2.093932187200759</v>
      </c>
      <c r="J49" s="37"/>
      <c r="K49" s="84"/>
      <c r="L49" s="84"/>
      <c r="M49" s="84"/>
      <c r="N49" s="84"/>
      <c r="O49" s="84"/>
    </row>
    <row r="50" spans="1:16" s="30" customFormat="1" ht="17.100000000000001" customHeight="1" x14ac:dyDescent="0.25">
      <c r="A50" s="32" t="s">
        <v>47</v>
      </c>
      <c r="B50" s="33">
        <f t="shared" ref="B50:G50" si="12">SUM(B51:B54)</f>
        <v>187</v>
      </c>
      <c r="C50" s="34">
        <f t="shared" si="12"/>
        <v>123</v>
      </c>
      <c r="D50" s="31">
        <f t="shared" si="12"/>
        <v>195</v>
      </c>
      <c r="E50" s="34">
        <f t="shared" si="12"/>
        <v>128</v>
      </c>
      <c r="F50" s="31">
        <f t="shared" si="12"/>
        <v>13</v>
      </c>
      <c r="G50" s="35">
        <f t="shared" si="12"/>
        <v>19</v>
      </c>
      <c r="H50" s="36">
        <f t="shared" si="2"/>
        <v>665</v>
      </c>
      <c r="I50" s="75">
        <f t="shared" si="11"/>
        <v>26.778171240163555</v>
      </c>
      <c r="J50" s="37"/>
      <c r="K50" s="84"/>
      <c r="L50" s="84"/>
      <c r="M50" s="84"/>
      <c r="N50" s="84"/>
      <c r="O50" s="84"/>
    </row>
    <row r="51" spans="1:16" s="30" customFormat="1" ht="17.100000000000001" customHeight="1" x14ac:dyDescent="0.25">
      <c r="A51" s="159" t="s">
        <v>17</v>
      </c>
      <c r="B51" s="102">
        <v>187</v>
      </c>
      <c r="C51" s="103">
        <v>123</v>
      </c>
      <c r="D51" s="104">
        <v>195</v>
      </c>
      <c r="E51" s="103">
        <v>127</v>
      </c>
      <c r="F51" s="104">
        <v>13</v>
      </c>
      <c r="G51" s="105">
        <v>19</v>
      </c>
      <c r="H51" s="106">
        <f t="shared" si="2"/>
        <v>664</v>
      </c>
      <c r="I51" s="121">
        <f t="shared" si="11"/>
        <v>26.737903313486616</v>
      </c>
      <c r="K51" s="84"/>
      <c r="L51" s="84"/>
      <c r="M51" s="84"/>
      <c r="N51" s="84"/>
      <c r="O51" s="84"/>
    </row>
    <row r="52" spans="1:16" s="30" customFormat="1" ht="17.100000000000001" customHeight="1" x14ac:dyDescent="0.25">
      <c r="A52" s="160" t="s">
        <v>18</v>
      </c>
      <c r="B52" s="108">
        <v>0</v>
      </c>
      <c r="C52" s="109">
        <v>0</v>
      </c>
      <c r="D52" s="110">
        <v>0</v>
      </c>
      <c r="E52" s="109">
        <v>0</v>
      </c>
      <c r="F52" s="110">
        <v>0</v>
      </c>
      <c r="G52" s="111">
        <v>0</v>
      </c>
      <c r="H52" s="112">
        <f t="shared" si="2"/>
        <v>0</v>
      </c>
      <c r="I52" s="143">
        <f t="shared" si="11"/>
        <v>0</v>
      </c>
      <c r="J52" s="1"/>
      <c r="K52" s="84"/>
      <c r="L52" s="84"/>
      <c r="M52" s="84"/>
      <c r="N52" s="84"/>
      <c r="O52" s="84"/>
    </row>
    <row r="53" spans="1:16" s="30" customFormat="1" ht="17.100000000000001" customHeight="1" x14ac:dyDescent="0.25">
      <c r="A53" s="159" t="s">
        <v>19</v>
      </c>
      <c r="B53" s="108">
        <v>0</v>
      </c>
      <c r="C53" s="109">
        <v>0</v>
      </c>
      <c r="D53" s="110">
        <v>0</v>
      </c>
      <c r="E53" s="109">
        <v>0</v>
      </c>
      <c r="F53" s="110">
        <v>0</v>
      </c>
      <c r="G53" s="111">
        <v>0</v>
      </c>
      <c r="H53" s="112">
        <f t="shared" si="2"/>
        <v>0</v>
      </c>
      <c r="I53" s="143">
        <f t="shared" si="11"/>
        <v>0</v>
      </c>
      <c r="J53" s="1"/>
      <c r="K53" s="84"/>
      <c r="L53" s="84"/>
      <c r="M53" s="84"/>
      <c r="N53" s="84"/>
      <c r="O53" s="84"/>
    </row>
    <row r="54" spans="1:16" s="37" customFormat="1" ht="17.100000000000001" customHeight="1" x14ac:dyDescent="0.25">
      <c r="A54" s="164" t="s">
        <v>20</v>
      </c>
      <c r="B54" s="144">
        <v>0</v>
      </c>
      <c r="C54" s="116">
        <v>0</v>
      </c>
      <c r="D54" s="116">
        <v>0</v>
      </c>
      <c r="E54" s="116">
        <v>1</v>
      </c>
      <c r="F54" s="116">
        <v>0</v>
      </c>
      <c r="G54" s="118">
        <v>0</v>
      </c>
      <c r="H54" s="119">
        <f t="shared" si="2"/>
        <v>1</v>
      </c>
      <c r="I54" s="126">
        <f t="shared" si="11"/>
        <v>4.0267926676937675E-2</v>
      </c>
      <c r="J54" s="1"/>
      <c r="K54" s="84"/>
      <c r="L54" s="84"/>
      <c r="M54" s="84"/>
      <c r="N54" s="84"/>
      <c r="O54" s="84"/>
    </row>
    <row r="55" spans="1:16" s="37" customFormat="1" ht="17.100000000000001" customHeight="1" x14ac:dyDescent="0.25">
      <c r="A55" s="45" t="s">
        <v>46</v>
      </c>
      <c r="B55" s="46">
        <f t="shared" ref="B55:G55" si="13">SUM(B56:B58)</f>
        <v>3031</v>
      </c>
      <c r="C55" s="47">
        <f t="shared" si="13"/>
        <v>573</v>
      </c>
      <c r="D55" s="48">
        <f t="shared" si="13"/>
        <v>1186</v>
      </c>
      <c r="E55" s="47">
        <f t="shared" si="13"/>
        <v>923</v>
      </c>
      <c r="F55" s="48">
        <f t="shared" si="13"/>
        <v>222</v>
      </c>
      <c r="G55" s="49">
        <f t="shared" si="13"/>
        <v>174</v>
      </c>
      <c r="H55" s="50">
        <f>SUM(B55:G55)</f>
        <v>6109</v>
      </c>
      <c r="I55" s="61">
        <f t="shared" si="11"/>
        <v>245.99676406941222</v>
      </c>
      <c r="K55" s="84"/>
      <c r="L55" s="84"/>
      <c r="M55" s="84"/>
      <c r="N55" s="84"/>
      <c r="O55" s="84"/>
    </row>
    <row r="56" spans="1:16" s="30" customFormat="1" ht="17.100000000000001" customHeight="1" x14ac:dyDescent="0.25">
      <c r="A56" s="159" t="s">
        <v>30</v>
      </c>
      <c r="B56" s="78">
        <v>2973</v>
      </c>
      <c r="C56" s="79">
        <v>546</v>
      </c>
      <c r="D56" s="80">
        <v>1123</v>
      </c>
      <c r="E56" s="79">
        <v>885</v>
      </c>
      <c r="F56" s="80">
        <v>211</v>
      </c>
      <c r="G56" s="81">
        <v>164</v>
      </c>
      <c r="H56" s="82">
        <f>SUM(B56:G56)</f>
        <v>5902</v>
      </c>
      <c r="I56" s="83">
        <f t="shared" si="11"/>
        <v>237.66130324728613</v>
      </c>
      <c r="J56" s="37"/>
      <c r="K56" s="84"/>
      <c r="L56" s="84"/>
      <c r="M56" s="84"/>
      <c r="N56" s="84"/>
      <c r="O56" s="84"/>
    </row>
    <row r="57" spans="1:16" s="30" customFormat="1" ht="17.100000000000001" customHeight="1" x14ac:dyDescent="0.25">
      <c r="A57" s="159" t="s">
        <v>31</v>
      </c>
      <c r="B57" s="102">
        <v>57</v>
      </c>
      <c r="C57" s="103">
        <v>27</v>
      </c>
      <c r="D57" s="104">
        <v>63</v>
      </c>
      <c r="E57" s="103">
        <v>38</v>
      </c>
      <c r="F57" s="104">
        <v>11</v>
      </c>
      <c r="G57" s="105">
        <v>10</v>
      </c>
      <c r="H57" s="106">
        <f>SUM(B57:G57)</f>
        <v>206</v>
      </c>
      <c r="I57" s="121">
        <f t="shared" si="11"/>
        <v>8.2951928954491603</v>
      </c>
      <c r="K57" s="84"/>
      <c r="L57" s="84"/>
      <c r="M57" s="84"/>
      <c r="N57" s="84"/>
      <c r="O57" s="84"/>
    </row>
    <row r="58" spans="1:16" s="30" customFormat="1" ht="17.100000000000001" customHeight="1" x14ac:dyDescent="0.25">
      <c r="A58" s="159" t="s">
        <v>29</v>
      </c>
      <c r="B58" s="102">
        <v>1</v>
      </c>
      <c r="C58" s="103">
        <v>0</v>
      </c>
      <c r="D58" s="104">
        <v>0</v>
      </c>
      <c r="E58" s="103">
        <v>0</v>
      </c>
      <c r="F58" s="104">
        <v>0</v>
      </c>
      <c r="G58" s="105">
        <v>0</v>
      </c>
      <c r="H58" s="106">
        <f>SUM(B58:G58)</f>
        <v>1</v>
      </c>
      <c r="I58" s="122">
        <f t="shared" si="11"/>
        <v>4.0267926676937675E-2</v>
      </c>
      <c r="K58" s="84"/>
      <c r="L58" s="84"/>
      <c r="M58" s="84"/>
      <c r="N58" s="84"/>
      <c r="O58" s="84"/>
    </row>
    <row r="59" spans="1:16" s="30" customFormat="1" ht="17.100000000000001" customHeight="1" x14ac:dyDescent="0.25">
      <c r="A59" s="39" t="s">
        <v>11</v>
      </c>
      <c r="B59" s="40">
        <v>3488</v>
      </c>
      <c r="C59" s="41">
        <v>1486</v>
      </c>
      <c r="D59" s="42">
        <v>3654</v>
      </c>
      <c r="E59" s="41">
        <v>2450</v>
      </c>
      <c r="F59" s="42">
        <v>384</v>
      </c>
      <c r="G59" s="43">
        <v>249</v>
      </c>
      <c r="H59" s="44">
        <f>SUM(B59:G59)</f>
        <v>11711</v>
      </c>
      <c r="I59" s="76">
        <f t="shared" si="11"/>
        <v>471.57768931361704</v>
      </c>
      <c r="J59" s="37"/>
      <c r="K59" s="84"/>
      <c r="L59" s="84"/>
      <c r="M59" s="84"/>
      <c r="N59" s="84"/>
      <c r="O59" s="84"/>
    </row>
    <row r="60" spans="1:16" s="30" customFormat="1" ht="17.100000000000001" customHeight="1" x14ac:dyDescent="0.25">
      <c r="A60" s="32" t="s">
        <v>45</v>
      </c>
      <c r="B60" s="33">
        <f t="shared" ref="B60:G60" si="14">SUM(B61+B66)</f>
        <v>907</v>
      </c>
      <c r="C60" s="47">
        <f t="shared" si="14"/>
        <v>322</v>
      </c>
      <c r="D60" s="31">
        <f t="shared" si="14"/>
        <v>649</v>
      </c>
      <c r="E60" s="34">
        <f t="shared" si="14"/>
        <v>431</v>
      </c>
      <c r="F60" s="31">
        <f t="shared" si="14"/>
        <v>92</v>
      </c>
      <c r="G60" s="35">
        <f t="shared" si="14"/>
        <v>79</v>
      </c>
      <c r="H60" s="36">
        <f t="shared" si="2"/>
        <v>2480</v>
      </c>
      <c r="I60" s="75">
        <f t="shared" si="11"/>
        <v>99.864458158805434</v>
      </c>
      <c r="J60" s="37"/>
      <c r="K60" s="84"/>
      <c r="L60" s="84"/>
      <c r="M60" s="84"/>
      <c r="N60" s="84"/>
      <c r="O60" s="84"/>
    </row>
    <row r="61" spans="1:16" s="30" customFormat="1" ht="17.100000000000001" customHeight="1" x14ac:dyDescent="0.25">
      <c r="A61" s="51" t="s">
        <v>44</v>
      </c>
      <c r="B61" s="52">
        <f t="shared" ref="B61:G61" si="15">SUM(B62:B65)</f>
        <v>674</v>
      </c>
      <c r="C61" s="53">
        <f t="shared" si="15"/>
        <v>257</v>
      </c>
      <c r="D61" s="54">
        <f t="shared" si="15"/>
        <v>477</v>
      </c>
      <c r="E61" s="53">
        <f t="shared" si="15"/>
        <v>317</v>
      </c>
      <c r="F61" s="54">
        <f t="shared" si="15"/>
        <v>68</v>
      </c>
      <c r="G61" s="55">
        <f t="shared" si="15"/>
        <v>67</v>
      </c>
      <c r="H61" s="56">
        <f t="shared" si="2"/>
        <v>1860</v>
      </c>
      <c r="I61" s="77">
        <f t="shared" si="11"/>
        <v>74.898343619104068</v>
      </c>
      <c r="K61" s="84"/>
      <c r="L61" s="84"/>
      <c r="M61" s="84"/>
      <c r="N61" s="84"/>
      <c r="O61" s="84"/>
    </row>
    <row r="62" spans="1:16" s="30" customFormat="1" ht="17.100000000000001" customHeight="1" x14ac:dyDescent="0.25">
      <c r="A62" s="159" t="s">
        <v>1</v>
      </c>
      <c r="B62" s="145">
        <v>483</v>
      </c>
      <c r="C62" s="146">
        <v>67</v>
      </c>
      <c r="D62" s="147">
        <v>142</v>
      </c>
      <c r="E62" s="148">
        <v>133</v>
      </c>
      <c r="F62" s="147">
        <v>39</v>
      </c>
      <c r="G62" s="149">
        <v>49</v>
      </c>
      <c r="H62" s="106">
        <f t="shared" si="2"/>
        <v>913</v>
      </c>
      <c r="I62" s="121">
        <f t="shared" si="11"/>
        <v>36.764617056044095</v>
      </c>
      <c r="K62" s="88"/>
      <c r="L62" s="88"/>
      <c r="M62" s="88"/>
      <c r="N62" s="88"/>
      <c r="O62" s="88"/>
      <c r="P62" s="95"/>
    </row>
    <row r="63" spans="1:16" s="30" customFormat="1" ht="17.100000000000001" customHeight="1" x14ac:dyDescent="0.25">
      <c r="A63" s="159" t="s">
        <v>22</v>
      </c>
      <c r="B63" s="102">
        <v>95</v>
      </c>
      <c r="C63" s="103">
        <v>122</v>
      </c>
      <c r="D63" s="104">
        <v>207</v>
      </c>
      <c r="E63" s="103">
        <v>108</v>
      </c>
      <c r="F63" s="104">
        <v>15</v>
      </c>
      <c r="G63" s="105">
        <v>6</v>
      </c>
      <c r="H63" s="106">
        <f t="shared" si="2"/>
        <v>553</v>
      </c>
      <c r="I63" s="121">
        <f t="shared" si="11"/>
        <v>22.268163452346535</v>
      </c>
      <c r="K63" s="88"/>
      <c r="L63" s="88"/>
      <c r="M63" s="88"/>
      <c r="N63" s="88"/>
      <c r="O63" s="88"/>
      <c r="P63" s="95"/>
    </row>
    <row r="64" spans="1:16" ht="17.100000000000001" customHeight="1" x14ac:dyDescent="0.25">
      <c r="A64" s="159" t="s">
        <v>23</v>
      </c>
      <c r="B64" s="102">
        <v>3</v>
      </c>
      <c r="C64" s="103">
        <v>1</v>
      </c>
      <c r="D64" s="104">
        <v>0</v>
      </c>
      <c r="E64" s="103">
        <v>0</v>
      </c>
      <c r="F64" s="104">
        <v>0</v>
      </c>
      <c r="G64" s="105">
        <v>0</v>
      </c>
      <c r="H64" s="106">
        <f>SUM(B64:G64)</f>
        <v>4</v>
      </c>
      <c r="I64" s="122">
        <f t="shared" si="11"/>
        <v>0.1610717067077507</v>
      </c>
      <c r="J64" s="30"/>
      <c r="K64" s="88"/>
      <c r="L64" s="88"/>
      <c r="M64" s="88"/>
      <c r="N64" s="88"/>
      <c r="O64" s="88"/>
      <c r="P64" s="19"/>
    </row>
    <row r="65" spans="1:16" s="37" customFormat="1" ht="17.100000000000001" customHeight="1" x14ac:dyDescent="0.25">
      <c r="A65" s="165" t="s">
        <v>2</v>
      </c>
      <c r="B65" s="145">
        <v>93</v>
      </c>
      <c r="C65" s="148">
        <v>67</v>
      </c>
      <c r="D65" s="147">
        <v>128</v>
      </c>
      <c r="E65" s="148">
        <v>76</v>
      </c>
      <c r="F65" s="147">
        <v>14</v>
      </c>
      <c r="G65" s="149">
        <v>12</v>
      </c>
      <c r="H65" s="106">
        <f t="shared" si="2"/>
        <v>390</v>
      </c>
      <c r="I65" s="121">
        <f t="shared" si="11"/>
        <v>15.704491404005692</v>
      </c>
      <c r="J65" s="30"/>
      <c r="K65" s="88"/>
      <c r="L65" s="88"/>
      <c r="M65" s="88"/>
      <c r="N65" s="88"/>
      <c r="O65" s="88"/>
      <c r="P65" s="96"/>
    </row>
    <row r="66" spans="1:16" s="37" customFormat="1" ht="17.100000000000001" customHeight="1" x14ac:dyDescent="0.25">
      <c r="A66" s="51" t="s">
        <v>43</v>
      </c>
      <c r="B66" s="52">
        <f t="shared" ref="B66:G66" si="16">SUM(B67:B71)</f>
        <v>233</v>
      </c>
      <c r="C66" s="53">
        <f t="shared" si="16"/>
        <v>65</v>
      </c>
      <c r="D66" s="54">
        <f t="shared" si="16"/>
        <v>172</v>
      </c>
      <c r="E66" s="53">
        <f t="shared" si="16"/>
        <v>114</v>
      </c>
      <c r="F66" s="54">
        <f t="shared" si="16"/>
        <v>24</v>
      </c>
      <c r="G66" s="55">
        <f t="shared" si="16"/>
        <v>12</v>
      </c>
      <c r="H66" s="56">
        <f t="shared" si="2"/>
        <v>620</v>
      </c>
      <c r="I66" s="77">
        <f t="shared" si="11"/>
        <v>24.966114539701358</v>
      </c>
      <c r="J66" s="30"/>
      <c r="K66" s="88"/>
      <c r="L66" s="88"/>
      <c r="M66" s="88"/>
      <c r="N66" s="88"/>
      <c r="O66" s="88"/>
      <c r="P66" s="96"/>
    </row>
    <row r="67" spans="1:16" s="37" customFormat="1" ht="17.100000000000001" customHeight="1" x14ac:dyDescent="0.25">
      <c r="A67" s="159" t="s">
        <v>1</v>
      </c>
      <c r="B67" s="145">
        <v>191</v>
      </c>
      <c r="C67" s="148">
        <v>31</v>
      </c>
      <c r="D67" s="147">
        <v>106</v>
      </c>
      <c r="E67" s="148">
        <v>73</v>
      </c>
      <c r="F67" s="147">
        <v>16</v>
      </c>
      <c r="G67" s="149">
        <v>10</v>
      </c>
      <c r="H67" s="106">
        <f t="shared" si="2"/>
        <v>427</v>
      </c>
      <c r="I67" s="121">
        <f t="shared" si="11"/>
        <v>17.194404691052384</v>
      </c>
      <c r="J67" s="30"/>
      <c r="K67" s="89"/>
      <c r="L67" s="89"/>
      <c r="M67" s="89"/>
      <c r="N67" s="89"/>
      <c r="O67" s="89"/>
      <c r="P67" s="96"/>
    </row>
    <row r="68" spans="1:16" s="30" customFormat="1" ht="17.100000000000001" customHeight="1" x14ac:dyDescent="0.25">
      <c r="A68" s="159" t="s">
        <v>22</v>
      </c>
      <c r="B68" s="102">
        <v>9</v>
      </c>
      <c r="C68" s="103">
        <v>14</v>
      </c>
      <c r="D68" s="104">
        <v>24</v>
      </c>
      <c r="E68" s="103">
        <v>5</v>
      </c>
      <c r="F68" s="104">
        <v>2</v>
      </c>
      <c r="G68" s="105">
        <v>0</v>
      </c>
      <c r="H68" s="131">
        <f t="shared" si="2"/>
        <v>54</v>
      </c>
      <c r="I68" s="150">
        <f t="shared" si="11"/>
        <v>2.1744680405546344</v>
      </c>
      <c r="K68" s="89"/>
      <c r="L68" s="89"/>
      <c r="M68" s="89"/>
      <c r="N68" s="89"/>
      <c r="O68" s="89"/>
      <c r="P68" s="95"/>
    </row>
    <row r="69" spans="1:16" ht="17.100000000000001" customHeight="1" x14ac:dyDescent="0.25">
      <c r="A69" s="159" t="s">
        <v>23</v>
      </c>
      <c r="B69" s="102">
        <v>0</v>
      </c>
      <c r="C69" s="103">
        <v>0</v>
      </c>
      <c r="D69" s="104">
        <v>2</v>
      </c>
      <c r="E69" s="103">
        <v>0</v>
      </c>
      <c r="F69" s="104">
        <v>0</v>
      </c>
      <c r="G69" s="105">
        <v>0</v>
      </c>
      <c r="H69" s="131">
        <f>SUM(B69:G69)</f>
        <v>2</v>
      </c>
      <c r="I69" s="132">
        <f t="shared" si="11"/>
        <v>8.053585335387535E-2</v>
      </c>
      <c r="J69" s="30"/>
      <c r="K69" s="89"/>
      <c r="L69" s="89"/>
      <c r="M69" s="89"/>
      <c r="N69" s="89"/>
      <c r="O69" s="89"/>
      <c r="P69" s="19"/>
    </row>
    <row r="70" spans="1:16" ht="17.100000000000001" customHeight="1" x14ac:dyDescent="0.25">
      <c r="A70" s="159" t="s">
        <v>39</v>
      </c>
      <c r="B70" s="108">
        <v>0</v>
      </c>
      <c r="C70" s="109">
        <v>0</v>
      </c>
      <c r="D70" s="110">
        <v>0</v>
      </c>
      <c r="E70" s="109">
        <v>0</v>
      </c>
      <c r="F70" s="110">
        <v>0</v>
      </c>
      <c r="G70" s="111">
        <v>0</v>
      </c>
      <c r="H70" s="106">
        <f>SUM(B70:G70)</f>
        <v>0</v>
      </c>
      <c r="I70" s="107">
        <f t="shared" si="11"/>
        <v>0</v>
      </c>
      <c r="K70" s="84"/>
      <c r="L70" s="84"/>
      <c r="M70" s="84"/>
      <c r="N70" s="84"/>
      <c r="O70" s="84"/>
    </row>
    <row r="71" spans="1:16" ht="17.100000000000001" customHeight="1" x14ac:dyDescent="0.25">
      <c r="A71" s="165" t="s">
        <v>2</v>
      </c>
      <c r="B71" s="145">
        <v>33</v>
      </c>
      <c r="C71" s="148">
        <v>20</v>
      </c>
      <c r="D71" s="147">
        <v>40</v>
      </c>
      <c r="E71" s="148">
        <v>36</v>
      </c>
      <c r="F71" s="147">
        <v>6</v>
      </c>
      <c r="G71" s="149">
        <v>2</v>
      </c>
      <c r="H71" s="106">
        <f>SUM(B71:G71)</f>
        <v>137</v>
      </c>
      <c r="I71" s="121">
        <f t="shared" si="11"/>
        <v>5.5167059547404618</v>
      </c>
      <c r="J71" s="30"/>
      <c r="K71" s="89"/>
      <c r="L71" s="89"/>
      <c r="M71" s="89"/>
      <c r="N71" s="89"/>
      <c r="O71" s="89"/>
      <c r="P71" s="19"/>
    </row>
    <row r="72" spans="1:16" ht="17.100000000000001" customHeight="1" x14ac:dyDescent="0.25">
      <c r="A72" s="32" t="s">
        <v>42</v>
      </c>
      <c r="B72" s="33">
        <f t="shared" ref="B72:G72" si="17">SUM(B73:B77)</f>
        <v>9415</v>
      </c>
      <c r="C72" s="34">
        <f t="shared" si="17"/>
        <v>2982</v>
      </c>
      <c r="D72" s="31">
        <f t="shared" si="17"/>
        <v>5045</v>
      </c>
      <c r="E72" s="34">
        <f t="shared" si="17"/>
        <v>2691</v>
      </c>
      <c r="F72" s="31">
        <f t="shared" si="17"/>
        <v>490</v>
      </c>
      <c r="G72" s="35">
        <f t="shared" si="17"/>
        <v>403</v>
      </c>
      <c r="H72" s="36">
        <f t="shared" ref="H72:H82" si="18">SUM(B72:G72)</f>
        <v>21026</v>
      </c>
      <c r="I72" s="75">
        <f t="shared" si="11"/>
        <v>846.67342630929159</v>
      </c>
      <c r="J72" s="37"/>
      <c r="K72" s="89"/>
      <c r="L72" s="89"/>
      <c r="M72" s="89"/>
      <c r="N72" s="89"/>
      <c r="O72" s="89"/>
      <c r="P72" s="19"/>
    </row>
    <row r="73" spans="1:16" s="37" customFormat="1" ht="17.100000000000001" customHeight="1" x14ac:dyDescent="0.25">
      <c r="A73" s="159" t="s">
        <v>1</v>
      </c>
      <c r="B73" s="145">
        <v>8790</v>
      </c>
      <c r="C73" s="148">
        <v>2125</v>
      </c>
      <c r="D73" s="147">
        <v>3740</v>
      </c>
      <c r="E73" s="148">
        <v>2144</v>
      </c>
      <c r="F73" s="147">
        <v>458</v>
      </c>
      <c r="G73" s="149">
        <v>393</v>
      </c>
      <c r="H73" s="106">
        <f t="shared" si="18"/>
        <v>17650</v>
      </c>
      <c r="I73" s="121">
        <f t="shared" si="11"/>
        <v>710.72890584794993</v>
      </c>
      <c r="J73" s="30"/>
    </row>
    <row r="74" spans="1:16" s="30" customFormat="1" ht="17.100000000000001" customHeight="1" x14ac:dyDescent="0.25">
      <c r="A74" s="159" t="s">
        <v>22</v>
      </c>
      <c r="B74" s="102">
        <v>0</v>
      </c>
      <c r="C74" s="103">
        <v>0</v>
      </c>
      <c r="D74" s="104">
        <v>0</v>
      </c>
      <c r="E74" s="103">
        <v>0</v>
      </c>
      <c r="F74" s="104">
        <v>0</v>
      </c>
      <c r="G74" s="105">
        <v>0</v>
      </c>
      <c r="H74" s="106">
        <f t="shared" si="18"/>
        <v>0</v>
      </c>
      <c r="I74" s="121">
        <f t="shared" si="11"/>
        <v>0</v>
      </c>
    </row>
    <row r="75" spans="1:16" s="30" customFormat="1" ht="17.100000000000001" customHeight="1" x14ac:dyDescent="0.25">
      <c r="A75" s="159" t="s">
        <v>23</v>
      </c>
      <c r="B75" s="145">
        <v>565</v>
      </c>
      <c r="C75" s="148">
        <v>778</v>
      </c>
      <c r="D75" s="147">
        <v>1160</v>
      </c>
      <c r="E75" s="148">
        <v>502</v>
      </c>
      <c r="F75" s="147">
        <v>29</v>
      </c>
      <c r="G75" s="149">
        <v>10</v>
      </c>
      <c r="H75" s="131">
        <f>SUM(B75:G75)</f>
        <v>3044</v>
      </c>
      <c r="I75" s="150">
        <f t="shared" si="11"/>
        <v>122.57556880459829</v>
      </c>
    </row>
    <row r="76" spans="1:16" s="30" customFormat="1" ht="17.100000000000001" customHeight="1" x14ac:dyDescent="0.25">
      <c r="A76" s="159" t="s">
        <v>39</v>
      </c>
      <c r="B76" s="145">
        <v>60</v>
      </c>
      <c r="C76" s="148">
        <v>79</v>
      </c>
      <c r="D76" s="147">
        <v>145</v>
      </c>
      <c r="E76" s="148">
        <v>45</v>
      </c>
      <c r="F76" s="147">
        <v>3</v>
      </c>
      <c r="G76" s="149">
        <v>0</v>
      </c>
      <c r="H76" s="131">
        <f>SUM(B76:G76)</f>
        <v>332</v>
      </c>
      <c r="I76" s="150">
        <f t="shared" si="11"/>
        <v>13.368951656743308</v>
      </c>
    </row>
    <row r="77" spans="1:16" s="37" customFormat="1" ht="17.100000000000001" customHeight="1" x14ac:dyDescent="0.25">
      <c r="A77" s="165" t="s">
        <v>2</v>
      </c>
      <c r="B77" s="145">
        <v>0</v>
      </c>
      <c r="C77" s="148">
        <v>0</v>
      </c>
      <c r="D77" s="147">
        <v>0</v>
      </c>
      <c r="E77" s="148">
        <v>0</v>
      </c>
      <c r="F77" s="147">
        <v>0</v>
      </c>
      <c r="G77" s="149">
        <v>0</v>
      </c>
      <c r="H77" s="106">
        <f t="shared" si="18"/>
        <v>0</v>
      </c>
      <c r="I77" s="121">
        <f t="shared" si="11"/>
        <v>0</v>
      </c>
      <c r="J77" s="30"/>
    </row>
    <row r="78" spans="1:16" s="30" customFormat="1" ht="17.100000000000001" customHeight="1" x14ac:dyDescent="0.25">
      <c r="A78" s="32" t="s">
        <v>41</v>
      </c>
      <c r="B78" s="33">
        <f t="shared" ref="B78:G78" si="19">SUM(B79:B82)</f>
        <v>14</v>
      </c>
      <c r="C78" s="34">
        <f t="shared" si="19"/>
        <v>4</v>
      </c>
      <c r="D78" s="31">
        <f t="shared" si="19"/>
        <v>10</v>
      </c>
      <c r="E78" s="34">
        <f t="shared" si="19"/>
        <v>6</v>
      </c>
      <c r="F78" s="31">
        <f t="shared" si="19"/>
        <v>0</v>
      </c>
      <c r="G78" s="35">
        <f t="shared" si="19"/>
        <v>3</v>
      </c>
      <c r="H78" s="36">
        <f t="shared" si="18"/>
        <v>37</v>
      </c>
      <c r="I78" s="75">
        <f t="shared" si="11"/>
        <v>1.4899132870466938</v>
      </c>
      <c r="J78" s="37"/>
      <c r="K78" s="84"/>
      <c r="L78" s="84"/>
      <c r="M78" s="84"/>
      <c r="N78" s="84"/>
      <c r="O78" s="84"/>
    </row>
    <row r="79" spans="1:16" s="30" customFormat="1" ht="17.100000000000001" customHeight="1" x14ac:dyDescent="0.25">
      <c r="A79" s="159" t="s">
        <v>17</v>
      </c>
      <c r="B79" s="102">
        <v>11</v>
      </c>
      <c r="C79" s="103">
        <v>1</v>
      </c>
      <c r="D79" s="104">
        <v>3</v>
      </c>
      <c r="E79" s="103">
        <v>5</v>
      </c>
      <c r="F79" s="104">
        <v>0</v>
      </c>
      <c r="G79" s="105">
        <v>2</v>
      </c>
      <c r="H79" s="106">
        <f t="shared" si="18"/>
        <v>22</v>
      </c>
      <c r="I79" s="121">
        <f t="shared" ref="I79:I82" si="20">H79/B$83 * 100000</f>
        <v>0.88589438689262878</v>
      </c>
      <c r="K79" s="84"/>
      <c r="L79" s="84"/>
      <c r="M79" s="84"/>
      <c r="N79" s="84"/>
      <c r="O79" s="84"/>
    </row>
    <row r="80" spans="1:16" s="30" customFormat="1" ht="17.100000000000001" customHeight="1" x14ac:dyDescent="0.25">
      <c r="A80" s="160" t="s">
        <v>18</v>
      </c>
      <c r="B80" s="145">
        <v>2</v>
      </c>
      <c r="C80" s="148">
        <v>2</v>
      </c>
      <c r="D80" s="147">
        <v>4</v>
      </c>
      <c r="E80" s="148">
        <v>0</v>
      </c>
      <c r="F80" s="147">
        <v>0</v>
      </c>
      <c r="G80" s="149">
        <v>1</v>
      </c>
      <c r="H80" s="106">
        <f t="shared" si="18"/>
        <v>9</v>
      </c>
      <c r="I80" s="122">
        <f t="shared" si="20"/>
        <v>0.36241134009243903</v>
      </c>
      <c r="K80" s="84"/>
      <c r="L80" s="84"/>
      <c r="M80" s="84"/>
      <c r="N80" s="84"/>
      <c r="O80" s="84"/>
    </row>
    <row r="81" spans="1:15" s="30" customFormat="1" ht="17.100000000000001" customHeight="1" x14ac:dyDescent="0.25">
      <c r="A81" s="159" t="s">
        <v>19</v>
      </c>
      <c r="B81" s="102">
        <v>1</v>
      </c>
      <c r="C81" s="103">
        <v>0</v>
      </c>
      <c r="D81" s="104">
        <v>1</v>
      </c>
      <c r="E81" s="103">
        <v>1</v>
      </c>
      <c r="F81" s="104">
        <v>0</v>
      </c>
      <c r="G81" s="105">
        <v>0</v>
      </c>
      <c r="H81" s="106">
        <f t="shared" si="18"/>
        <v>3</v>
      </c>
      <c r="I81" s="122">
        <f t="shared" si="20"/>
        <v>0.12080378003081303</v>
      </c>
      <c r="K81" s="84"/>
      <c r="L81" s="84"/>
      <c r="M81" s="84"/>
      <c r="N81" s="84"/>
      <c r="O81" s="84"/>
    </row>
    <row r="82" spans="1:15" s="30" customFormat="1" ht="17.100000000000001" customHeight="1" x14ac:dyDescent="0.25">
      <c r="A82" s="164" t="s">
        <v>20</v>
      </c>
      <c r="B82" s="102">
        <v>0</v>
      </c>
      <c r="C82" s="103">
        <v>1</v>
      </c>
      <c r="D82" s="104">
        <v>2</v>
      </c>
      <c r="E82" s="103">
        <v>0</v>
      </c>
      <c r="F82" s="147">
        <v>0</v>
      </c>
      <c r="G82" s="149">
        <v>0</v>
      </c>
      <c r="H82" s="106">
        <f t="shared" si="18"/>
        <v>3</v>
      </c>
      <c r="I82" s="122">
        <f t="shared" si="20"/>
        <v>0.12080378003081303</v>
      </c>
      <c r="J82" s="1"/>
      <c r="K82" s="84"/>
      <c r="L82" s="84"/>
      <c r="M82" s="84"/>
      <c r="N82" s="84"/>
      <c r="O82" s="84"/>
    </row>
    <row r="83" spans="1:15" s="30" customFormat="1" ht="27.95" customHeight="1" x14ac:dyDescent="0.2">
      <c r="A83" s="69" t="s">
        <v>62</v>
      </c>
      <c r="B83" s="207">
        <v>2483366</v>
      </c>
      <c r="C83" s="213"/>
      <c r="D83" s="68"/>
      <c r="E83" s="68"/>
      <c r="F83" s="68"/>
      <c r="G83" s="68"/>
      <c r="H83" s="68"/>
      <c r="I83" s="68"/>
      <c r="J83" s="1"/>
      <c r="K83" s="87"/>
      <c r="L83" s="87"/>
      <c r="M83" s="87"/>
      <c r="N83" s="87"/>
      <c r="O83" s="84"/>
    </row>
    <row r="84" spans="1:15" s="30" customFormat="1" ht="27.95" customHeight="1" x14ac:dyDescent="0.2">
      <c r="A84" s="69" t="s">
        <v>13</v>
      </c>
      <c r="B84" s="70"/>
      <c r="C84" s="71"/>
      <c r="D84" s="72"/>
      <c r="E84" s="70"/>
      <c r="F84" s="71"/>
      <c r="G84" s="73"/>
      <c r="H84" s="69"/>
      <c r="I84" s="69"/>
      <c r="J84" s="1"/>
      <c r="K84" s="84"/>
      <c r="L84" s="84"/>
      <c r="M84" s="84"/>
      <c r="N84" s="84"/>
      <c r="O84" s="84"/>
    </row>
    <row r="85" spans="1:15" s="30" customFormat="1" ht="27.95" customHeight="1" x14ac:dyDescent="0.2">
      <c r="A85" s="208" t="s">
        <v>14</v>
      </c>
      <c r="B85" s="209"/>
      <c r="C85" s="209"/>
      <c r="D85" s="209"/>
      <c r="E85" s="209"/>
      <c r="F85" s="209"/>
      <c r="G85" s="209"/>
      <c r="H85" s="209"/>
      <c r="I85" s="209"/>
      <c r="J85" s="1"/>
      <c r="K85" s="84"/>
      <c r="L85" s="84"/>
      <c r="M85" s="84"/>
      <c r="N85" s="84"/>
      <c r="O85" s="84"/>
    </row>
    <row r="86" spans="1:15" s="30" customFormat="1" ht="16.5" customHeight="1" x14ac:dyDescent="0.2">
      <c r="A86" s="208" t="s">
        <v>36</v>
      </c>
      <c r="B86" s="209"/>
      <c r="C86" s="209"/>
      <c r="D86" s="209"/>
      <c r="E86" s="209"/>
      <c r="F86" s="209"/>
      <c r="G86" s="209"/>
      <c r="H86" s="209"/>
      <c r="I86" s="209"/>
      <c r="J86" s="1"/>
      <c r="K86" s="1"/>
      <c r="L86" s="1"/>
      <c r="M86" s="1"/>
      <c r="N86" s="1"/>
      <c r="O86" s="1"/>
    </row>
    <row r="87" spans="1:15" s="30" customFormat="1" ht="27.95" customHeight="1" x14ac:dyDescent="0.2">
      <c r="A87" s="74" t="s">
        <v>81</v>
      </c>
      <c r="B87" s="70"/>
      <c r="C87" s="71"/>
      <c r="D87" s="72"/>
      <c r="E87" s="70"/>
      <c r="F87" s="71"/>
      <c r="G87" s="73"/>
      <c r="H87" s="69"/>
      <c r="I87" s="69"/>
      <c r="J87" s="1"/>
      <c r="K87" s="1"/>
      <c r="L87" s="1"/>
      <c r="M87" s="1"/>
      <c r="N87" s="1"/>
      <c r="O87" s="1"/>
    </row>
    <row r="88" spans="1:15" s="30" customFormat="1" x14ac:dyDescent="0.2">
      <c r="A88" s="1"/>
      <c r="B88" s="11"/>
      <c r="C88" s="2"/>
      <c r="D88" s="22"/>
      <c r="E88" s="11"/>
      <c r="F88" s="2"/>
      <c r="G88" s="1"/>
      <c r="H88" s="1"/>
      <c r="I88" s="1"/>
      <c r="J88" s="1"/>
      <c r="K88" s="1"/>
      <c r="L88" s="1"/>
      <c r="M88" s="1"/>
      <c r="N88" s="1"/>
      <c r="O88" s="1"/>
    </row>
    <row r="89" spans="1:15" s="30" customFormat="1" x14ac:dyDescent="0.2">
      <c r="A89" s="1"/>
      <c r="B89" s="64"/>
      <c r="C89" s="63"/>
      <c r="D89" s="63"/>
      <c r="E89" s="64"/>
      <c r="F89" s="64"/>
      <c r="G89" s="63"/>
      <c r="H89" s="63"/>
      <c r="I89" s="1"/>
      <c r="J89" s="1"/>
      <c r="K89" s="1"/>
      <c r="L89" s="1"/>
      <c r="M89" s="1"/>
      <c r="N89" s="1"/>
      <c r="O89" s="1"/>
    </row>
    <row r="90" spans="1:15" s="30" customFormat="1" ht="15" customHeight="1" x14ac:dyDescent="0.2">
      <c r="A90" s="1"/>
      <c r="B90" s="64"/>
      <c r="C90" s="63"/>
      <c r="D90" s="63"/>
      <c r="E90" s="64"/>
      <c r="F90" s="63"/>
      <c r="G90" s="63"/>
      <c r="H90" s="63"/>
      <c r="I90" s="1"/>
      <c r="J90" s="1"/>
      <c r="K90" s="1"/>
      <c r="L90" s="1"/>
      <c r="M90" s="1"/>
      <c r="N90" s="1"/>
      <c r="O90" s="1"/>
    </row>
    <row r="91" spans="1:15" s="30" customFormat="1" x14ac:dyDescent="0.2">
      <c r="A91" s="1"/>
      <c r="B91" s="63"/>
      <c r="C91" s="63"/>
      <c r="D91" s="63"/>
      <c r="E91" s="64"/>
      <c r="F91" s="63"/>
      <c r="G91" s="63"/>
      <c r="H91" s="63"/>
      <c r="I91" s="1"/>
      <c r="J91" s="21"/>
      <c r="K91" s="1"/>
      <c r="L91" s="1"/>
      <c r="M91" s="1"/>
      <c r="N91" s="1"/>
      <c r="O91" s="1"/>
    </row>
    <row r="92" spans="1:15" x14ac:dyDescent="0.2">
      <c r="B92" s="64"/>
      <c r="C92" s="63"/>
      <c r="D92" s="63"/>
      <c r="E92" s="64"/>
      <c r="F92" s="63"/>
      <c r="G92" s="63"/>
      <c r="H92" s="63"/>
      <c r="J92" s="9"/>
    </row>
    <row r="93" spans="1:15" s="37" customFormat="1" ht="21" customHeight="1" x14ac:dyDescent="0.25">
      <c r="A93" s="1"/>
      <c r="B93" s="64"/>
      <c r="C93" s="63"/>
      <c r="D93" s="67"/>
      <c r="E93" s="64"/>
      <c r="F93" s="63"/>
      <c r="G93" s="67"/>
      <c r="H93" s="63"/>
      <c r="I93" s="1"/>
      <c r="J93" s="9"/>
      <c r="K93" s="1"/>
      <c r="L93" s="1"/>
      <c r="M93" s="1"/>
      <c r="N93" s="1"/>
      <c r="O93" s="1"/>
    </row>
    <row r="94" spans="1:15" s="30" customFormat="1" x14ac:dyDescent="0.2">
      <c r="A94" s="1"/>
      <c r="B94" s="64"/>
      <c r="C94" s="63"/>
      <c r="D94" s="67"/>
      <c r="E94" s="64"/>
      <c r="F94" s="63"/>
      <c r="G94" s="67"/>
      <c r="H94" s="63"/>
      <c r="I94" s="1"/>
      <c r="J94" s="9"/>
      <c r="K94" s="1"/>
      <c r="L94" s="1"/>
      <c r="M94" s="1"/>
      <c r="N94" s="1"/>
      <c r="O94" s="1"/>
    </row>
    <row r="95" spans="1:15" s="30" customFormat="1" x14ac:dyDescent="0.2">
      <c r="A95" s="1"/>
      <c r="B95" s="64"/>
      <c r="C95" s="63"/>
      <c r="D95" s="67"/>
      <c r="E95" s="64"/>
      <c r="F95" s="63"/>
      <c r="G95" s="67"/>
      <c r="H95" s="63"/>
      <c r="I95" s="1"/>
      <c r="J95" s="9"/>
      <c r="K95" s="1"/>
      <c r="L95" s="1"/>
      <c r="M95" s="1"/>
      <c r="N95" s="1"/>
      <c r="O95" s="1"/>
    </row>
    <row r="96" spans="1:15" s="30" customFormat="1" ht="15" customHeight="1" x14ac:dyDescent="0.2">
      <c r="A96" s="1"/>
      <c r="B96" s="66"/>
      <c r="C96" s="19"/>
      <c r="D96" s="65"/>
      <c r="E96" s="66"/>
      <c r="F96" s="19"/>
      <c r="G96" s="19"/>
      <c r="H96" s="19"/>
      <c r="I96" s="1"/>
      <c r="J96" s="1"/>
      <c r="K96" s="1"/>
      <c r="L96" s="1"/>
      <c r="M96" s="1"/>
      <c r="N96" s="1"/>
      <c r="O96" s="1"/>
    </row>
    <row r="97" spans="1:15" x14ac:dyDescent="0.2">
      <c r="B97" s="11"/>
      <c r="C97" s="12"/>
      <c r="D97" s="23"/>
      <c r="E97" s="11"/>
      <c r="F97" s="12"/>
      <c r="G97" s="13"/>
    </row>
    <row r="98" spans="1:15" s="37" customFormat="1" ht="21" customHeight="1" x14ac:dyDescent="0.25">
      <c r="A98" s="1"/>
      <c r="B98" s="11"/>
      <c r="C98" s="12"/>
      <c r="D98" s="23"/>
      <c r="E98" s="11"/>
      <c r="F98" s="12"/>
      <c r="G98" s="13"/>
      <c r="H98" s="1"/>
      <c r="I98" s="1"/>
      <c r="J98" s="1"/>
      <c r="K98" s="1"/>
      <c r="L98" s="1"/>
      <c r="M98" s="1"/>
      <c r="N98" s="1"/>
      <c r="O98" s="1"/>
    </row>
    <row r="99" spans="1:15" s="30" customFormat="1" x14ac:dyDescent="0.2">
      <c r="A99" s="1"/>
      <c r="B99" s="11"/>
      <c r="C99" s="12"/>
      <c r="D99" s="23"/>
      <c r="E99" s="11"/>
      <c r="F99" s="12"/>
      <c r="G99" s="13"/>
      <c r="H99" s="1"/>
      <c r="I99" s="1"/>
      <c r="J99" s="1"/>
      <c r="K99" s="1"/>
      <c r="L99" s="1"/>
      <c r="M99" s="1"/>
      <c r="N99" s="1"/>
      <c r="O99" s="1"/>
    </row>
    <row r="100" spans="1:15" s="30" customFormat="1" x14ac:dyDescent="0.2">
      <c r="A100" s="1"/>
      <c r="B100" s="11"/>
      <c r="C100" s="12"/>
      <c r="D100" s="23"/>
      <c r="E100" s="11"/>
      <c r="F100" s="12"/>
      <c r="G100" s="13"/>
      <c r="H100" s="1"/>
      <c r="I100" s="1"/>
      <c r="J100" s="1"/>
      <c r="K100" s="1"/>
      <c r="L100" s="1"/>
      <c r="M100" s="1"/>
      <c r="N100" s="1"/>
      <c r="O100" s="1"/>
    </row>
    <row r="101" spans="1:15" s="30" customFormat="1" x14ac:dyDescent="0.2">
      <c r="A101" s="1"/>
      <c r="B101" s="11"/>
      <c r="C101" s="12"/>
      <c r="D101" s="23"/>
      <c r="E101" s="11"/>
      <c r="F101" s="12"/>
      <c r="G101" s="13"/>
      <c r="H101" s="1"/>
      <c r="I101" s="1"/>
      <c r="J101" s="1"/>
      <c r="K101" s="1"/>
      <c r="L101" s="1"/>
      <c r="M101" s="1"/>
      <c r="N101" s="1"/>
      <c r="O101" s="1"/>
    </row>
    <row r="102" spans="1:15" s="30" customFormat="1" x14ac:dyDescent="0.2">
      <c r="A102" s="1"/>
      <c r="B102" s="11"/>
      <c r="C102" s="1"/>
      <c r="D102" s="22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30" customFormat="1" x14ac:dyDescent="0.2">
      <c r="A103" s="1"/>
      <c r="B103" s="11"/>
      <c r="C103" s="12"/>
      <c r="D103" s="23"/>
      <c r="E103" s="11"/>
      <c r="F103" s="12"/>
      <c r="G103" s="13"/>
      <c r="H103" s="1"/>
      <c r="I103" s="1"/>
      <c r="J103" s="1"/>
      <c r="K103" s="1"/>
      <c r="L103" s="1"/>
      <c r="M103" s="1"/>
      <c r="N103" s="1"/>
      <c r="O103" s="1"/>
    </row>
    <row r="104" spans="1:15" s="37" customFormat="1" ht="21" customHeight="1" x14ac:dyDescent="0.25">
      <c r="A104" s="1"/>
      <c r="B104" s="11"/>
      <c r="C104" s="12"/>
      <c r="D104" s="23"/>
      <c r="E104" s="11"/>
      <c r="F104" s="12"/>
      <c r="G104" s="13"/>
      <c r="H104" s="1"/>
      <c r="I104" s="1"/>
      <c r="J104" s="1"/>
      <c r="K104" s="1"/>
      <c r="L104" s="1"/>
      <c r="M104" s="1"/>
      <c r="N104" s="1"/>
      <c r="O104" s="1"/>
    </row>
    <row r="105" spans="1:15" s="37" customFormat="1" ht="21" customHeight="1" x14ac:dyDescent="0.25">
      <c r="A105" s="1"/>
      <c r="B105" s="11"/>
      <c r="C105" s="12"/>
      <c r="D105" s="23"/>
      <c r="E105" s="11"/>
      <c r="F105" s="12"/>
      <c r="G105" s="13"/>
      <c r="H105" s="1"/>
      <c r="I105" s="1"/>
      <c r="J105" s="1"/>
      <c r="K105" s="1"/>
      <c r="L105" s="1"/>
      <c r="M105" s="1"/>
      <c r="N105" s="1"/>
      <c r="O105" s="1"/>
    </row>
    <row r="106" spans="1:15" s="37" customFormat="1" ht="21" customHeight="1" x14ac:dyDescent="0.25">
      <c r="A106" s="1"/>
      <c r="B106" s="11"/>
      <c r="C106" s="12"/>
      <c r="D106" s="23"/>
      <c r="E106" s="11"/>
      <c r="F106" s="12"/>
      <c r="G106" s="13"/>
      <c r="H106" s="1"/>
      <c r="I106" s="1"/>
      <c r="J106" s="1"/>
      <c r="K106" s="1"/>
      <c r="L106" s="1"/>
      <c r="M106" s="1"/>
      <c r="N106" s="1"/>
      <c r="O106" s="1"/>
    </row>
    <row r="107" spans="1:15" s="37" customFormat="1" ht="21" customHeight="1" x14ac:dyDescent="0.25">
      <c r="A107" s="1"/>
      <c r="B107" s="11"/>
      <c r="C107" s="12"/>
      <c r="D107" s="23"/>
      <c r="E107" s="11"/>
      <c r="F107" s="12"/>
      <c r="G107" s="13"/>
      <c r="H107" s="1"/>
      <c r="I107" s="1"/>
      <c r="J107" s="1"/>
      <c r="K107" s="1"/>
      <c r="L107" s="1"/>
      <c r="M107" s="1"/>
      <c r="N107" s="1"/>
      <c r="O107" s="1"/>
    </row>
    <row r="108" spans="1:15" s="37" customFormat="1" ht="21" customHeight="1" x14ac:dyDescent="0.25">
      <c r="A108" s="1"/>
      <c r="B108" s="11"/>
      <c r="C108" s="12"/>
      <c r="D108" s="22"/>
      <c r="E108" s="11"/>
      <c r="F108" s="12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37" customFormat="1" ht="21" customHeight="1" x14ac:dyDescent="0.25">
      <c r="A109" s="1"/>
      <c r="B109" s="3"/>
      <c r="C109" s="12"/>
      <c r="D109" s="22"/>
      <c r="E109" s="3"/>
      <c r="F109" s="12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37" customFormat="1" ht="21" customHeight="1" x14ac:dyDescent="0.25">
      <c r="A110" s="1"/>
      <c r="B110" s="3"/>
      <c r="C110" s="12"/>
      <c r="D110" s="22"/>
      <c r="E110" s="3"/>
      <c r="F110" s="12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3.75" customHeight="1" x14ac:dyDescent="0.2">
      <c r="B111" s="3"/>
      <c r="E111" s="3"/>
    </row>
    <row r="112" spans="1:15" ht="22.5" customHeight="1" x14ac:dyDescent="0.2">
      <c r="B112" s="3"/>
      <c r="E112" s="3"/>
    </row>
    <row r="113" spans="1:10" ht="27.75" customHeight="1" x14ac:dyDescent="0.2">
      <c r="B113" s="14"/>
      <c r="C113" s="5"/>
      <c r="D113" s="24"/>
      <c r="E113" s="14"/>
      <c r="F113" s="5"/>
      <c r="G113" s="5"/>
    </row>
    <row r="114" spans="1:10" ht="16.5" customHeight="1" x14ac:dyDescent="0.2">
      <c r="B114" s="3"/>
      <c r="D114" s="24"/>
      <c r="E114" s="3"/>
      <c r="G114" s="5"/>
    </row>
    <row r="115" spans="1:10" ht="24" customHeight="1" x14ac:dyDescent="0.2">
      <c r="B115" s="3"/>
      <c r="D115" s="24"/>
      <c r="E115" s="3"/>
      <c r="G115" s="5"/>
    </row>
    <row r="116" spans="1:10" ht="15.75" x14ac:dyDescent="0.25">
      <c r="A116" s="15"/>
      <c r="B116" s="3"/>
      <c r="E116" s="3"/>
    </row>
    <row r="117" spans="1:10" ht="15.75" x14ac:dyDescent="0.25">
      <c r="A117" s="15"/>
      <c r="B117" s="3"/>
      <c r="E117" s="3"/>
      <c r="H117" s="3"/>
    </row>
    <row r="118" spans="1:10" ht="15.75" x14ac:dyDescent="0.25">
      <c r="A118" s="15"/>
      <c r="B118" s="3"/>
      <c r="C118" s="12"/>
      <c r="D118" s="23"/>
      <c r="E118" s="3"/>
      <c r="F118" s="12"/>
      <c r="G118" s="13"/>
      <c r="I118" s="13"/>
      <c r="J118" s="7"/>
    </row>
    <row r="119" spans="1:10" x14ac:dyDescent="0.2">
      <c r="B119" s="3"/>
      <c r="C119" s="12"/>
      <c r="D119" s="23"/>
      <c r="E119" s="3"/>
      <c r="F119" s="12"/>
      <c r="G119" s="13"/>
    </row>
    <row r="120" spans="1:10" x14ac:dyDescent="0.2">
      <c r="B120" s="3"/>
      <c r="C120" s="12"/>
      <c r="D120" s="23"/>
      <c r="E120" s="3"/>
      <c r="F120" s="12"/>
      <c r="G120" s="13"/>
    </row>
    <row r="121" spans="1:10" x14ac:dyDescent="0.2">
      <c r="B121" s="3"/>
      <c r="C121" s="12"/>
      <c r="D121" s="23"/>
      <c r="E121" s="3"/>
      <c r="F121" s="12"/>
      <c r="G121" s="13"/>
    </row>
    <row r="122" spans="1:10" x14ac:dyDescent="0.2">
      <c r="B122" s="3"/>
      <c r="C122" s="12"/>
      <c r="D122" s="23"/>
      <c r="E122" s="3"/>
      <c r="F122" s="12"/>
      <c r="G122" s="13"/>
    </row>
    <row r="123" spans="1:10" ht="15.75" x14ac:dyDescent="0.25">
      <c r="A123" s="6"/>
      <c r="B123" s="3"/>
      <c r="C123" s="12"/>
      <c r="D123" s="23"/>
      <c r="E123" s="3"/>
      <c r="F123" s="12"/>
      <c r="G123" s="13"/>
    </row>
    <row r="124" spans="1:10" x14ac:dyDescent="0.2">
      <c r="B124" s="3"/>
      <c r="E124" s="3"/>
    </row>
    <row r="125" spans="1:10" ht="15.75" x14ac:dyDescent="0.25">
      <c r="A125" s="6"/>
      <c r="B125" s="3"/>
      <c r="E125" s="3"/>
    </row>
    <row r="126" spans="1:10" ht="15.75" x14ac:dyDescent="0.2">
      <c r="A126" s="4"/>
      <c r="B126" s="3"/>
      <c r="E126" s="3"/>
    </row>
    <row r="127" spans="1:10" x14ac:dyDescent="0.2">
      <c r="B127" s="3"/>
      <c r="E127" s="3"/>
    </row>
    <row r="128" spans="1:10" ht="15.75" x14ac:dyDescent="0.25">
      <c r="A128" s="6"/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B134" s="3"/>
      <c r="E134" s="3"/>
    </row>
    <row r="135" spans="1:7" x14ac:dyDescent="0.2">
      <c r="B135" s="3"/>
      <c r="E135" s="3"/>
    </row>
    <row r="136" spans="1:7" x14ac:dyDescent="0.2">
      <c r="A136" s="10"/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E141" s="3"/>
    </row>
    <row r="142" spans="1:7" x14ac:dyDescent="0.2">
      <c r="B142" s="3"/>
      <c r="E142" s="3"/>
    </row>
    <row r="143" spans="1:7" x14ac:dyDescent="0.2">
      <c r="B143" s="3"/>
      <c r="C143" s="12"/>
      <c r="D143" s="23"/>
      <c r="E143" s="3"/>
      <c r="F143" s="12"/>
      <c r="G143" s="13"/>
    </row>
    <row r="144" spans="1:7" x14ac:dyDescent="0.2">
      <c r="B144" s="3"/>
      <c r="C144" s="12"/>
      <c r="D144" s="23"/>
      <c r="E144" s="3"/>
      <c r="F144" s="12"/>
      <c r="G144" s="13"/>
    </row>
    <row r="145" spans="1:7" x14ac:dyDescent="0.2">
      <c r="B145" s="3"/>
      <c r="C145" s="12"/>
      <c r="D145" s="23"/>
      <c r="E145" s="3"/>
      <c r="F145" s="12"/>
      <c r="G145" s="13"/>
    </row>
    <row r="146" spans="1:7" x14ac:dyDescent="0.2">
      <c r="B146" s="3"/>
      <c r="C146" s="12"/>
      <c r="D146" s="23"/>
      <c r="E146" s="3"/>
      <c r="F146" s="12"/>
      <c r="G146" s="13"/>
    </row>
    <row r="147" spans="1:7" ht="15.75" x14ac:dyDescent="0.25">
      <c r="A147" s="15"/>
      <c r="B147" s="3"/>
      <c r="C147" s="12"/>
      <c r="D147" s="23"/>
      <c r="E147" s="3"/>
      <c r="F147" s="12"/>
      <c r="G147" s="13"/>
    </row>
    <row r="148" spans="1:7" ht="15.75" x14ac:dyDescent="0.25">
      <c r="A148" s="6"/>
      <c r="B148" s="3"/>
      <c r="C148" s="12"/>
      <c r="D148" s="23"/>
      <c r="E148" s="3"/>
      <c r="F148" s="12"/>
      <c r="G148" s="13"/>
    </row>
    <row r="149" spans="1:7" ht="15.75" x14ac:dyDescent="0.25">
      <c r="A149" s="8"/>
      <c r="B149" s="3"/>
      <c r="C149" s="12"/>
      <c r="D149" s="23"/>
      <c r="E149" s="3"/>
      <c r="F149" s="12"/>
      <c r="G149" s="13"/>
    </row>
    <row r="150" spans="1:7" x14ac:dyDescent="0.2">
      <c r="B150" s="3"/>
      <c r="C150" s="12"/>
      <c r="D150" s="23"/>
      <c r="E150" s="3"/>
      <c r="F150" s="12"/>
      <c r="G150" s="13"/>
    </row>
    <row r="151" spans="1:7" x14ac:dyDescent="0.2">
      <c r="A151" s="10"/>
      <c r="B151" s="3"/>
      <c r="C151" s="12"/>
      <c r="D151" s="23"/>
      <c r="E151" s="3"/>
      <c r="F151" s="12"/>
      <c r="G151" s="13"/>
    </row>
    <row r="152" spans="1:7" x14ac:dyDescent="0.2">
      <c r="B152" s="3"/>
      <c r="C152" s="12"/>
      <c r="D152" s="23"/>
      <c r="E152" s="3"/>
      <c r="F152" s="12"/>
      <c r="G152" s="13"/>
    </row>
    <row r="153" spans="1:7" x14ac:dyDescent="0.2">
      <c r="A153" s="10"/>
      <c r="B153" s="3"/>
      <c r="C153" s="12"/>
      <c r="D153" s="23"/>
      <c r="E153" s="3"/>
      <c r="F153" s="12"/>
      <c r="G153" s="13"/>
    </row>
    <row r="154" spans="1:7" x14ac:dyDescent="0.2">
      <c r="B154" s="3"/>
      <c r="C154" s="12"/>
      <c r="D154" s="23"/>
      <c r="E154" s="3"/>
      <c r="F154" s="12"/>
      <c r="G154" s="13"/>
    </row>
    <row r="155" spans="1:7" ht="15.75" x14ac:dyDescent="0.25">
      <c r="A155" s="15"/>
      <c r="C155" s="12"/>
      <c r="D155" s="23"/>
      <c r="F155" s="12"/>
      <c r="G155" s="13"/>
    </row>
    <row r="156" spans="1:7" ht="15.75" x14ac:dyDescent="0.25">
      <c r="A156" s="15"/>
      <c r="C156" s="12"/>
      <c r="D156" s="23"/>
      <c r="F156" s="12"/>
      <c r="G156" s="13"/>
    </row>
    <row r="157" spans="1:7" ht="15.75" x14ac:dyDescent="0.25">
      <c r="A157" s="15"/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D160" s="23"/>
      <c r="F160" s="12"/>
      <c r="G160" s="13"/>
    </row>
    <row r="161" spans="1:7" x14ac:dyDescent="0.2">
      <c r="B161" s="10"/>
      <c r="C161" s="16"/>
      <c r="D161" s="25"/>
      <c r="E161" s="10"/>
      <c r="F161" s="16"/>
      <c r="G161" s="17"/>
    </row>
    <row r="162" spans="1:7" ht="15.75" x14ac:dyDescent="0.25">
      <c r="A162" s="6"/>
      <c r="C162" s="12"/>
      <c r="D162" s="23"/>
      <c r="F162" s="12"/>
      <c r="G162" s="13"/>
    </row>
    <row r="163" spans="1:7" x14ac:dyDescent="0.2">
      <c r="B163" s="10"/>
      <c r="C163" s="16"/>
      <c r="D163" s="25"/>
      <c r="E163" s="10"/>
      <c r="F163" s="16"/>
      <c r="G163" s="17"/>
    </row>
    <row r="164" spans="1:7" ht="15.75" x14ac:dyDescent="0.25">
      <c r="A164" s="6"/>
      <c r="C164" s="12"/>
      <c r="D164" s="23"/>
      <c r="F164" s="12"/>
      <c r="G164" s="13"/>
    </row>
    <row r="165" spans="1:7" ht="15.75" x14ac:dyDescent="0.2">
      <c r="A165" s="4"/>
      <c r="C165" s="12"/>
      <c r="F165" s="12"/>
    </row>
    <row r="166" spans="1:7" x14ac:dyDescent="0.2">
      <c r="C166" s="12"/>
      <c r="F166" s="12"/>
    </row>
    <row r="167" spans="1:7" ht="15.75" x14ac:dyDescent="0.25">
      <c r="A167" s="6"/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C173" s="12"/>
      <c r="F173" s="12"/>
    </row>
    <row r="174" spans="1:7" x14ac:dyDescent="0.2">
      <c r="C174" s="12"/>
      <c r="F174" s="12"/>
    </row>
    <row r="175" spans="1:7" x14ac:dyDescent="0.2">
      <c r="A175" s="10"/>
      <c r="B175" s="5"/>
      <c r="E175" s="5"/>
    </row>
    <row r="176" spans="1:7" x14ac:dyDescent="0.2">
      <c r="B176" s="5"/>
      <c r="C176" s="5"/>
      <c r="D176" s="24"/>
      <c r="E176" s="5"/>
      <c r="F176" s="5"/>
      <c r="G176" s="5"/>
    </row>
    <row r="177" spans="1:7" x14ac:dyDescent="0.2">
      <c r="D177" s="24"/>
      <c r="G177" s="5"/>
    </row>
    <row r="179" spans="1:7" x14ac:dyDescent="0.2"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x14ac:dyDescent="0.2">
      <c r="C181" s="12"/>
      <c r="D181" s="23"/>
      <c r="F181" s="12"/>
      <c r="G181" s="13"/>
    </row>
    <row r="182" spans="1:7" x14ac:dyDescent="0.2">
      <c r="C182" s="12"/>
      <c r="D182" s="23"/>
      <c r="F182" s="12"/>
      <c r="G182" s="13"/>
    </row>
    <row r="183" spans="1:7" x14ac:dyDescent="0.2">
      <c r="C183" s="12"/>
      <c r="D183" s="23"/>
      <c r="F183" s="12"/>
      <c r="G183" s="13"/>
    </row>
    <row r="184" spans="1:7" x14ac:dyDescent="0.2">
      <c r="C184" s="12"/>
      <c r="D184" s="23"/>
      <c r="F184" s="12"/>
      <c r="G184" s="13"/>
    </row>
    <row r="185" spans="1:7" x14ac:dyDescent="0.2">
      <c r="B185" s="10"/>
      <c r="C185" s="16"/>
      <c r="D185" s="25"/>
      <c r="E185" s="10"/>
      <c r="F185" s="16"/>
      <c r="G185" s="17"/>
    </row>
    <row r="186" spans="1:7" ht="15.75" x14ac:dyDescent="0.25">
      <c r="A186" s="15"/>
      <c r="C186" s="12"/>
      <c r="D186" s="23"/>
      <c r="F186" s="12"/>
      <c r="G186" s="13"/>
    </row>
    <row r="187" spans="1:7" ht="15.75" x14ac:dyDescent="0.25">
      <c r="A187" s="6"/>
      <c r="C187" s="12"/>
      <c r="D187" s="23"/>
      <c r="F187" s="12"/>
      <c r="G187" s="13"/>
    </row>
    <row r="188" spans="1:7" ht="15.75" x14ac:dyDescent="0.25">
      <c r="A188" s="8"/>
      <c r="C188" s="12"/>
      <c r="D188" s="23"/>
      <c r="F188" s="12"/>
      <c r="G188" s="13"/>
    </row>
    <row r="189" spans="1:7" x14ac:dyDescent="0.2">
      <c r="C189" s="12"/>
      <c r="D189" s="23"/>
      <c r="F189" s="12"/>
      <c r="G189" s="13"/>
    </row>
    <row r="190" spans="1:7" x14ac:dyDescent="0.2">
      <c r="A190" s="10"/>
      <c r="C190" s="12"/>
      <c r="D190" s="23"/>
      <c r="F190" s="12"/>
      <c r="G190" s="13"/>
    </row>
    <row r="191" spans="1:7" x14ac:dyDescent="0.2">
      <c r="C191" s="12"/>
      <c r="D191" s="23"/>
      <c r="F191" s="12"/>
      <c r="G191" s="13"/>
    </row>
    <row r="192" spans="1:7" x14ac:dyDescent="0.2">
      <c r="A192" s="10"/>
      <c r="C192" s="12"/>
      <c r="D192" s="23"/>
      <c r="F192" s="12"/>
      <c r="G192" s="13"/>
    </row>
    <row r="193" spans="1:7" x14ac:dyDescent="0.2">
      <c r="C193" s="12"/>
      <c r="D193" s="23"/>
      <c r="F193" s="12"/>
      <c r="G193" s="13"/>
    </row>
    <row r="194" spans="1:7" ht="15.75" x14ac:dyDescent="0.25">
      <c r="A194" s="15"/>
      <c r="C194" s="12"/>
      <c r="D194" s="23"/>
      <c r="F194" s="12"/>
      <c r="G194" s="13"/>
    </row>
    <row r="195" spans="1:7" ht="15.75" x14ac:dyDescent="0.25">
      <c r="A195" s="15"/>
      <c r="C195" s="12"/>
      <c r="D195" s="23"/>
      <c r="F195" s="12"/>
      <c r="G195" s="13"/>
    </row>
    <row r="196" spans="1:7" ht="15.75" x14ac:dyDescent="0.25">
      <c r="A196" s="15"/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D199" s="23"/>
      <c r="F199" s="12"/>
      <c r="G199" s="13"/>
    </row>
    <row r="200" spans="1:7" x14ac:dyDescent="0.2">
      <c r="B200" s="10"/>
      <c r="C200" s="16"/>
      <c r="D200" s="25"/>
      <c r="E200" s="10"/>
      <c r="F200" s="16"/>
      <c r="G200" s="17"/>
    </row>
    <row r="201" spans="1:7" ht="15.75" x14ac:dyDescent="0.25">
      <c r="A201" s="6"/>
      <c r="C201" s="12"/>
      <c r="D201" s="23"/>
      <c r="F201" s="12"/>
      <c r="G201" s="13"/>
    </row>
    <row r="202" spans="1:7" x14ac:dyDescent="0.2">
      <c r="B202" s="10"/>
      <c r="C202" s="16"/>
      <c r="D202" s="25"/>
      <c r="E202" s="10"/>
      <c r="F202" s="16"/>
      <c r="G202" s="17"/>
    </row>
    <row r="203" spans="1:7" ht="15.75" x14ac:dyDescent="0.25">
      <c r="A203" s="6"/>
      <c r="C203" s="12"/>
      <c r="D203" s="23"/>
      <c r="F203" s="12"/>
      <c r="G203" s="13"/>
    </row>
    <row r="204" spans="1:7" ht="15.75" x14ac:dyDescent="0.2">
      <c r="A204" s="4"/>
      <c r="C204" s="12"/>
      <c r="F204" s="12"/>
    </row>
    <row r="205" spans="1:7" x14ac:dyDescent="0.2">
      <c r="C205" s="12"/>
      <c r="F205" s="12"/>
    </row>
    <row r="206" spans="1:7" ht="15.75" x14ac:dyDescent="0.25">
      <c r="A206" s="6"/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C212" s="12"/>
      <c r="F212" s="12"/>
    </row>
    <row r="213" spans="1:7" x14ac:dyDescent="0.2">
      <c r="C213" s="12"/>
      <c r="F213" s="12"/>
    </row>
    <row r="214" spans="1:7" x14ac:dyDescent="0.2">
      <c r="A214" s="10"/>
      <c r="B214" s="5"/>
      <c r="E214" s="5"/>
    </row>
    <row r="215" spans="1:7" x14ac:dyDescent="0.2">
      <c r="B215" s="5"/>
      <c r="C215" s="5"/>
      <c r="D215" s="24"/>
      <c r="E215" s="5"/>
      <c r="F215" s="5"/>
      <c r="G215" s="5"/>
    </row>
    <row r="216" spans="1:7" x14ac:dyDescent="0.2">
      <c r="D216" s="24"/>
      <c r="G216" s="5"/>
    </row>
    <row r="218" spans="1:7" x14ac:dyDescent="0.2"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x14ac:dyDescent="0.2">
      <c r="C220" s="12"/>
      <c r="D220" s="23"/>
      <c r="F220" s="12"/>
      <c r="G220" s="13"/>
    </row>
    <row r="221" spans="1:7" x14ac:dyDescent="0.2">
      <c r="C221" s="12"/>
      <c r="D221" s="23"/>
      <c r="F221" s="12"/>
      <c r="G221" s="13"/>
    </row>
    <row r="222" spans="1:7" x14ac:dyDescent="0.2">
      <c r="C222" s="12"/>
      <c r="D222" s="23"/>
      <c r="F222" s="12"/>
      <c r="G222" s="13"/>
    </row>
    <row r="223" spans="1:7" x14ac:dyDescent="0.2">
      <c r="C223" s="12"/>
      <c r="D223" s="23"/>
      <c r="F223" s="12"/>
      <c r="G223" s="13"/>
    </row>
    <row r="224" spans="1:7" x14ac:dyDescent="0.2">
      <c r="B224" s="10"/>
      <c r="C224" s="16"/>
      <c r="D224" s="25"/>
      <c r="E224" s="10"/>
      <c r="F224" s="16"/>
      <c r="G224" s="17"/>
    </row>
    <row r="225" spans="1:7" ht="15.75" x14ac:dyDescent="0.25">
      <c r="A225" s="15"/>
      <c r="C225" s="12"/>
      <c r="D225" s="23"/>
      <c r="F225" s="12"/>
      <c r="G225" s="13"/>
    </row>
    <row r="226" spans="1:7" ht="15.75" x14ac:dyDescent="0.25">
      <c r="A226" s="6"/>
      <c r="C226" s="12"/>
      <c r="D226" s="23"/>
      <c r="F226" s="12"/>
      <c r="G226" s="13"/>
    </row>
    <row r="227" spans="1:7" ht="15.75" x14ac:dyDescent="0.25">
      <c r="A227" s="8"/>
      <c r="C227" s="12"/>
      <c r="D227" s="23"/>
      <c r="F227" s="12"/>
      <c r="G227" s="13"/>
    </row>
    <row r="228" spans="1:7" x14ac:dyDescent="0.2">
      <c r="C228" s="12"/>
      <c r="D228" s="23"/>
      <c r="F228" s="12"/>
      <c r="G228" s="13"/>
    </row>
    <row r="229" spans="1:7" x14ac:dyDescent="0.2">
      <c r="A229" s="10"/>
      <c r="C229" s="12"/>
      <c r="D229" s="23"/>
      <c r="F229" s="12"/>
      <c r="G229" s="13"/>
    </row>
    <row r="230" spans="1:7" x14ac:dyDescent="0.2">
      <c r="C230" s="12"/>
      <c r="D230" s="23"/>
      <c r="F230" s="12"/>
      <c r="G230" s="13"/>
    </row>
    <row r="231" spans="1:7" x14ac:dyDescent="0.2">
      <c r="A231" s="10"/>
      <c r="C231" s="12"/>
      <c r="D231" s="23"/>
      <c r="F231" s="12"/>
      <c r="G231" s="13"/>
    </row>
    <row r="232" spans="1:7" x14ac:dyDescent="0.2">
      <c r="C232" s="12"/>
      <c r="D232" s="23"/>
      <c r="F232" s="12"/>
      <c r="G232" s="13"/>
    </row>
    <row r="233" spans="1:7" ht="15.75" x14ac:dyDescent="0.25">
      <c r="A233" s="15"/>
      <c r="C233" s="12"/>
      <c r="D233" s="23"/>
      <c r="F233" s="12"/>
      <c r="G233" s="13"/>
    </row>
    <row r="234" spans="1:7" ht="15.75" x14ac:dyDescent="0.25">
      <c r="A234" s="15"/>
      <c r="C234" s="12"/>
      <c r="D234" s="23"/>
      <c r="F234" s="12"/>
      <c r="G234" s="13"/>
    </row>
    <row r="235" spans="1:7" ht="15.75" x14ac:dyDescent="0.25">
      <c r="A235" s="15"/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D238" s="23"/>
      <c r="F238" s="12"/>
      <c r="G238" s="13"/>
    </row>
    <row r="239" spans="1:7" x14ac:dyDescent="0.2">
      <c r="B239" s="10"/>
      <c r="C239" s="16"/>
      <c r="D239" s="25"/>
      <c r="E239" s="10"/>
      <c r="F239" s="16"/>
      <c r="G239" s="17"/>
    </row>
    <row r="240" spans="1:7" ht="15.75" x14ac:dyDescent="0.25">
      <c r="A240" s="6"/>
      <c r="C240" s="12"/>
      <c r="D240" s="23"/>
      <c r="F240" s="12"/>
      <c r="G240" s="13"/>
    </row>
    <row r="241" spans="1:7" x14ac:dyDescent="0.2">
      <c r="B241" s="10"/>
      <c r="C241" s="16"/>
      <c r="D241" s="25"/>
      <c r="E241" s="10"/>
      <c r="F241" s="16"/>
      <c r="G241" s="17"/>
    </row>
    <row r="242" spans="1:7" ht="15.75" x14ac:dyDescent="0.25">
      <c r="A242" s="6"/>
      <c r="C242" s="12"/>
      <c r="D242" s="23"/>
      <c r="F242" s="12"/>
      <c r="G242" s="13"/>
    </row>
    <row r="243" spans="1:7" ht="15.75" x14ac:dyDescent="0.2">
      <c r="A243" s="4"/>
      <c r="C243" s="12"/>
      <c r="F243" s="12"/>
    </row>
    <row r="244" spans="1:7" x14ac:dyDescent="0.2">
      <c r="C244" s="12"/>
      <c r="F244" s="12"/>
    </row>
    <row r="245" spans="1:7" ht="15.75" x14ac:dyDescent="0.25">
      <c r="A245" s="6"/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C251" s="12"/>
      <c r="F251" s="12"/>
    </row>
    <row r="252" spans="1:7" x14ac:dyDescent="0.2">
      <c r="C252" s="12"/>
      <c r="F252" s="12"/>
    </row>
    <row r="253" spans="1:7" x14ac:dyDescent="0.2">
      <c r="A253" s="10"/>
      <c r="B253" s="5"/>
      <c r="E253" s="5"/>
    </row>
    <row r="254" spans="1:7" x14ac:dyDescent="0.2">
      <c r="B254" s="5"/>
      <c r="C254" s="5"/>
      <c r="D254" s="24"/>
      <c r="E254" s="5"/>
      <c r="F254" s="5"/>
      <c r="G254" s="5"/>
    </row>
    <row r="255" spans="1:7" x14ac:dyDescent="0.2">
      <c r="D255" s="24"/>
      <c r="G255" s="5"/>
    </row>
    <row r="257" spans="1:7" x14ac:dyDescent="0.2"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x14ac:dyDescent="0.2">
      <c r="C259" s="12"/>
      <c r="D259" s="23"/>
      <c r="F259" s="12"/>
      <c r="G259" s="13"/>
    </row>
    <row r="260" spans="1:7" x14ac:dyDescent="0.2">
      <c r="C260" s="12"/>
      <c r="D260" s="23"/>
      <c r="F260" s="12"/>
      <c r="G260" s="13"/>
    </row>
    <row r="261" spans="1:7" x14ac:dyDescent="0.2">
      <c r="C261" s="12"/>
      <c r="D261" s="23"/>
      <c r="F261" s="12"/>
      <c r="G261" s="13"/>
    </row>
    <row r="262" spans="1:7" x14ac:dyDescent="0.2">
      <c r="C262" s="12"/>
      <c r="D262" s="23"/>
      <c r="F262" s="12"/>
      <c r="G262" s="13"/>
    </row>
    <row r="263" spans="1:7" x14ac:dyDescent="0.2">
      <c r="B263" s="10"/>
      <c r="C263" s="16"/>
      <c r="D263" s="25"/>
      <c r="E263" s="10"/>
      <c r="F263" s="16"/>
      <c r="G263" s="17"/>
    </row>
    <row r="264" spans="1:7" ht="15.75" x14ac:dyDescent="0.25">
      <c r="A264" s="15"/>
      <c r="C264" s="12"/>
      <c r="D264" s="23"/>
      <c r="F264" s="12"/>
      <c r="G264" s="13"/>
    </row>
    <row r="265" spans="1:7" ht="15.75" x14ac:dyDescent="0.25">
      <c r="A265" s="6"/>
      <c r="C265" s="12"/>
      <c r="D265" s="23"/>
      <c r="F265" s="12"/>
      <c r="G265" s="13"/>
    </row>
    <row r="266" spans="1:7" ht="15.75" x14ac:dyDescent="0.25">
      <c r="A266" s="8"/>
      <c r="C266" s="12"/>
      <c r="D266" s="23"/>
      <c r="F266" s="12"/>
      <c r="G266" s="13"/>
    </row>
    <row r="267" spans="1:7" x14ac:dyDescent="0.2">
      <c r="C267" s="12"/>
      <c r="D267" s="23"/>
      <c r="F267" s="12"/>
      <c r="G267" s="13"/>
    </row>
    <row r="268" spans="1:7" x14ac:dyDescent="0.2">
      <c r="A268" s="10"/>
      <c r="C268" s="12"/>
      <c r="D268" s="23"/>
      <c r="F268" s="12"/>
      <c r="G268" s="13"/>
    </row>
    <row r="269" spans="1:7" x14ac:dyDescent="0.2">
      <c r="C269" s="12"/>
      <c r="D269" s="23"/>
      <c r="F269" s="12"/>
      <c r="G269" s="13"/>
    </row>
    <row r="270" spans="1:7" x14ac:dyDescent="0.2">
      <c r="A270" s="10"/>
      <c r="C270" s="12"/>
      <c r="D270" s="23"/>
      <c r="F270" s="12"/>
      <c r="G270" s="13"/>
    </row>
    <row r="271" spans="1:7" x14ac:dyDescent="0.2">
      <c r="C271" s="12"/>
      <c r="D271" s="23"/>
      <c r="F271" s="12"/>
      <c r="G271" s="13"/>
    </row>
    <row r="272" spans="1:7" ht="15.75" x14ac:dyDescent="0.25">
      <c r="A272" s="15"/>
      <c r="C272" s="12"/>
      <c r="D272" s="23"/>
      <c r="F272" s="12"/>
      <c r="G272" s="13"/>
    </row>
    <row r="273" spans="1:7" ht="15.75" x14ac:dyDescent="0.25">
      <c r="A273" s="15"/>
      <c r="C273" s="12"/>
      <c r="D273" s="23"/>
      <c r="F273" s="12"/>
      <c r="G273" s="13"/>
    </row>
    <row r="274" spans="1:7" ht="15.75" x14ac:dyDescent="0.25">
      <c r="A274" s="15"/>
      <c r="C274" s="12"/>
      <c r="F274" s="12"/>
    </row>
    <row r="275" spans="1:7" x14ac:dyDescent="0.2">
      <c r="C275" s="12"/>
      <c r="F275" s="12"/>
    </row>
    <row r="276" spans="1:7" x14ac:dyDescent="0.2">
      <c r="C276" s="12"/>
      <c r="F276" s="12"/>
    </row>
    <row r="277" spans="1:7" x14ac:dyDescent="0.2">
      <c r="C277" s="12"/>
      <c r="D277" s="23"/>
      <c r="F277" s="12"/>
      <c r="G277" s="13"/>
    </row>
    <row r="278" spans="1:7" x14ac:dyDescent="0.2">
      <c r="B278" s="10"/>
      <c r="C278" s="16"/>
      <c r="D278" s="25"/>
      <c r="E278" s="10"/>
      <c r="F278" s="16"/>
      <c r="G278" s="17"/>
    </row>
    <row r="279" spans="1:7" ht="15.75" x14ac:dyDescent="0.25">
      <c r="A279" s="6"/>
      <c r="C279" s="12"/>
      <c r="D279" s="23"/>
      <c r="F279" s="12"/>
      <c r="G279" s="13"/>
    </row>
    <row r="280" spans="1:7" x14ac:dyDescent="0.2">
      <c r="B280" s="10"/>
      <c r="C280" s="16"/>
      <c r="D280" s="25"/>
      <c r="E280" s="10"/>
      <c r="F280" s="16"/>
      <c r="G280" s="17"/>
    </row>
    <row r="281" spans="1:7" ht="15.75" x14ac:dyDescent="0.25">
      <c r="A281" s="6"/>
      <c r="C281" s="12"/>
      <c r="D281" s="23"/>
      <c r="F281" s="12"/>
      <c r="G281" s="13"/>
    </row>
    <row r="282" spans="1:7" ht="15.75" x14ac:dyDescent="0.25">
      <c r="A282" s="6"/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B292" s="5"/>
      <c r="E292" s="5"/>
    </row>
    <row r="293" spans="2:7" x14ac:dyDescent="0.2">
      <c r="B293" s="5"/>
      <c r="C293" s="5"/>
      <c r="D293" s="24"/>
      <c r="E293" s="5"/>
      <c r="F293" s="5"/>
      <c r="G293" s="5"/>
    </row>
    <row r="294" spans="2:7" x14ac:dyDescent="0.2">
      <c r="D294" s="24"/>
      <c r="G294" s="5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B302" s="10"/>
      <c r="C302" s="16"/>
      <c r="D302" s="26"/>
      <c r="E302" s="10"/>
      <c r="F302" s="16"/>
      <c r="G302" s="10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B317" s="10"/>
      <c r="C317" s="16"/>
      <c r="D317" s="26"/>
      <c r="E317" s="10"/>
      <c r="F317" s="16"/>
      <c r="G317" s="10"/>
    </row>
    <row r="318" spans="2:7" x14ac:dyDescent="0.2">
      <c r="C318" s="12"/>
      <c r="F318" s="12"/>
    </row>
    <row r="319" spans="2:7" x14ac:dyDescent="0.2">
      <c r="B319" s="10"/>
      <c r="C319" s="16"/>
      <c r="D319" s="27"/>
      <c r="E319" s="10"/>
      <c r="F319" s="16"/>
      <c r="G319" s="18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29" spans="3:7" x14ac:dyDescent="0.2">
      <c r="C329" s="12"/>
      <c r="F329" s="12"/>
    </row>
    <row r="330" spans="3:7" x14ac:dyDescent="0.2">
      <c r="C330" s="12"/>
      <c r="F330" s="12"/>
    </row>
    <row r="335" spans="3:7" x14ac:dyDescent="0.2">
      <c r="D335" s="28"/>
      <c r="G335" s="12"/>
    </row>
    <row r="336" spans="3:7" x14ac:dyDescent="0.2">
      <c r="D336" s="28"/>
      <c r="G336" s="12"/>
    </row>
    <row r="337" spans="4:7" x14ac:dyDescent="0.2">
      <c r="D337" s="28"/>
      <c r="G337" s="12"/>
    </row>
    <row r="338" spans="4:7" x14ac:dyDescent="0.2">
      <c r="D338" s="28"/>
      <c r="G338" s="12"/>
    </row>
    <row r="339" spans="4:7" x14ac:dyDescent="0.2">
      <c r="D339" s="28"/>
      <c r="G339" s="12"/>
    </row>
    <row r="340" spans="4:7" x14ac:dyDescent="0.2">
      <c r="D340" s="28"/>
      <c r="G340" s="12"/>
    </row>
    <row r="341" spans="4:7" x14ac:dyDescent="0.2">
      <c r="D341" s="28"/>
      <c r="G341" s="12"/>
    </row>
    <row r="342" spans="4:7" x14ac:dyDescent="0.2">
      <c r="D342" s="28"/>
      <c r="G342" s="12"/>
    </row>
    <row r="343" spans="4:7" x14ac:dyDescent="0.2">
      <c r="D343" s="28"/>
      <c r="G343" s="12"/>
    </row>
    <row r="344" spans="4:7" x14ac:dyDescent="0.2">
      <c r="D344" s="28"/>
      <c r="G344" s="12"/>
    </row>
    <row r="345" spans="4:7" x14ac:dyDescent="0.2">
      <c r="D345" s="28"/>
      <c r="G345" s="12"/>
    </row>
    <row r="346" spans="4:7" x14ac:dyDescent="0.2">
      <c r="D346" s="28"/>
      <c r="G346" s="12"/>
    </row>
    <row r="347" spans="4:7" x14ac:dyDescent="0.2">
      <c r="D347" s="28"/>
      <c r="G347" s="12"/>
    </row>
  </sheetData>
  <mergeCells count="5">
    <mergeCell ref="B83:C83"/>
    <mergeCell ref="A85:I85"/>
    <mergeCell ref="A86:I86"/>
    <mergeCell ref="A2:A3"/>
    <mergeCell ref="B2:G2"/>
  </mergeCells>
  <phoneticPr fontId="15" type="noConversion"/>
  <pageMargins left="0.75" right="0.75" top="0.82" bottom="0.95" header="0.81" footer="1"/>
  <pageSetup scale="59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45"/>
  <sheetViews>
    <sheetView topLeftCell="A52" zoomScale="70" workbookViewId="0">
      <selection activeCell="A87" sqref="A87"/>
    </sheetView>
  </sheetViews>
  <sheetFormatPr defaultColWidth="11.5" defaultRowHeight="15" x14ac:dyDescent="0.2"/>
  <cols>
    <col min="1" max="1" width="57.5" style="1" customWidth="1"/>
    <col min="2" max="3" width="12" style="1" customWidth="1"/>
    <col min="4" max="4" width="12" style="22" customWidth="1"/>
    <col min="5" max="7" width="12" style="1" customWidth="1"/>
    <col min="8" max="8" width="12.33203125" style="1" customWidth="1"/>
    <col min="9" max="9" width="17.5" style="1" customWidth="1"/>
    <col min="10" max="10" width="5.83203125" style="1" customWidth="1"/>
    <col min="11" max="16384" width="11.5" style="1"/>
  </cols>
  <sheetData>
    <row r="1" spans="1:10" s="20" customFormat="1" ht="30.75" customHeight="1" x14ac:dyDescent="0.3">
      <c r="A1" s="97" t="s">
        <v>67</v>
      </c>
      <c r="B1" s="98"/>
      <c r="C1" s="99"/>
      <c r="D1" s="100"/>
      <c r="E1" s="98"/>
      <c r="F1" s="99"/>
      <c r="G1" s="99"/>
      <c r="H1" s="99"/>
      <c r="I1" s="101"/>
    </row>
    <row r="2" spans="1:10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57"/>
      <c r="I2" s="92" t="s">
        <v>3</v>
      </c>
    </row>
    <row r="3" spans="1:10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</row>
    <row r="4" spans="1:10" s="37" customFormat="1" ht="17.100000000000001" customHeight="1" x14ac:dyDescent="0.25">
      <c r="A4" s="32" t="s">
        <v>56</v>
      </c>
      <c r="B4" s="33">
        <f t="shared" ref="B4:G4" si="0">SUM(B5:B9)</f>
        <v>2652</v>
      </c>
      <c r="C4" s="34">
        <f t="shared" si="0"/>
        <v>1983</v>
      </c>
      <c r="D4" s="31">
        <f t="shared" si="0"/>
        <v>4362</v>
      </c>
      <c r="E4" s="34">
        <f t="shared" si="0"/>
        <v>2324</v>
      </c>
      <c r="F4" s="31">
        <f t="shared" si="0"/>
        <v>497</v>
      </c>
      <c r="G4" s="35">
        <f t="shared" si="0"/>
        <v>342</v>
      </c>
      <c r="H4" s="36">
        <f>SUM(B4:G4)</f>
        <v>12160</v>
      </c>
      <c r="I4" s="62">
        <f t="shared" ref="I4:I13" si="1">H4/B$83 * 100000</f>
        <v>491.23116021447731</v>
      </c>
      <c r="J4" s="38"/>
    </row>
    <row r="5" spans="1:10" ht="17.100000000000001" customHeight="1" x14ac:dyDescent="0.25">
      <c r="A5" s="159" t="s">
        <v>17</v>
      </c>
      <c r="B5" s="102">
        <v>2563</v>
      </c>
      <c r="C5" s="103">
        <v>1719</v>
      </c>
      <c r="D5" s="104">
        <v>3936</v>
      </c>
      <c r="E5" s="103">
        <v>2228</v>
      </c>
      <c r="F5" s="104">
        <v>493</v>
      </c>
      <c r="G5" s="105">
        <v>341</v>
      </c>
      <c r="H5" s="106">
        <f t="shared" ref="H5:H68" si="2">SUM(B5:G5)</f>
        <v>11280</v>
      </c>
      <c r="I5" s="107">
        <f t="shared" si="1"/>
        <v>455.68153677790332</v>
      </c>
    </row>
    <row r="6" spans="1:10" ht="17.100000000000001" customHeight="1" x14ac:dyDescent="0.25">
      <c r="A6" s="159" t="s">
        <v>18</v>
      </c>
      <c r="B6" s="102">
        <v>23</v>
      </c>
      <c r="C6" s="103">
        <v>61</v>
      </c>
      <c r="D6" s="104">
        <v>113</v>
      </c>
      <c r="E6" s="103">
        <v>17</v>
      </c>
      <c r="F6" s="104">
        <v>0</v>
      </c>
      <c r="G6" s="105">
        <v>0</v>
      </c>
      <c r="H6" s="106">
        <f t="shared" si="2"/>
        <v>214</v>
      </c>
      <c r="I6" s="107">
        <f t="shared" si="1"/>
        <v>8.6450220629850456</v>
      </c>
    </row>
    <row r="7" spans="1:10" ht="17.100000000000001" customHeight="1" x14ac:dyDescent="0.25">
      <c r="A7" s="159" t="s">
        <v>19</v>
      </c>
      <c r="B7" s="102">
        <v>58</v>
      </c>
      <c r="C7" s="103">
        <v>183</v>
      </c>
      <c r="D7" s="104">
        <v>281</v>
      </c>
      <c r="E7" s="103">
        <v>67</v>
      </c>
      <c r="F7" s="104">
        <v>3</v>
      </c>
      <c r="G7" s="105">
        <v>1</v>
      </c>
      <c r="H7" s="106">
        <f t="shared" si="2"/>
        <v>593</v>
      </c>
      <c r="I7" s="107">
        <f t="shared" si="1"/>
        <v>23.955598520327719</v>
      </c>
    </row>
    <row r="8" spans="1:10" ht="17.100000000000001" customHeight="1" x14ac:dyDescent="0.25">
      <c r="A8" s="159" t="s">
        <v>38</v>
      </c>
      <c r="B8" s="108">
        <v>2</v>
      </c>
      <c r="C8" s="109">
        <v>11</v>
      </c>
      <c r="D8" s="110">
        <v>18</v>
      </c>
      <c r="E8" s="109">
        <v>6</v>
      </c>
      <c r="F8" s="110">
        <v>0</v>
      </c>
      <c r="G8" s="111">
        <v>0</v>
      </c>
      <c r="H8" s="106">
        <f t="shared" si="2"/>
        <v>37</v>
      </c>
      <c r="I8" s="107">
        <f t="shared" si="1"/>
        <v>1.4947000763104985</v>
      </c>
    </row>
    <row r="9" spans="1:10" ht="17.100000000000001" customHeight="1" x14ac:dyDescent="0.25">
      <c r="A9" s="160" t="s">
        <v>20</v>
      </c>
      <c r="B9" s="108">
        <v>6</v>
      </c>
      <c r="C9" s="109">
        <v>9</v>
      </c>
      <c r="D9" s="110">
        <v>14</v>
      </c>
      <c r="E9" s="109">
        <v>6</v>
      </c>
      <c r="F9" s="110">
        <v>1</v>
      </c>
      <c r="G9" s="111">
        <v>0</v>
      </c>
      <c r="H9" s="112">
        <f>SUM(B9:G9)</f>
        <v>36</v>
      </c>
      <c r="I9" s="113">
        <f t="shared" si="1"/>
        <v>1.4543027769507553</v>
      </c>
    </row>
    <row r="10" spans="1:10" ht="17.100000000000001" customHeight="1" x14ac:dyDescent="0.25">
      <c r="A10" s="32" t="s">
        <v>60</v>
      </c>
      <c r="B10" s="33">
        <f t="shared" ref="B10:G10" si="3">SUM(B11:B15)</f>
        <v>40</v>
      </c>
      <c r="C10" s="34">
        <f t="shared" si="3"/>
        <v>6</v>
      </c>
      <c r="D10" s="31">
        <f t="shared" si="3"/>
        <v>8</v>
      </c>
      <c r="E10" s="34">
        <f t="shared" si="3"/>
        <v>4</v>
      </c>
      <c r="F10" s="31">
        <f t="shared" si="3"/>
        <v>1</v>
      </c>
      <c r="G10" s="35">
        <f t="shared" si="3"/>
        <v>0</v>
      </c>
      <c r="H10" s="36">
        <f t="shared" si="2"/>
        <v>59</v>
      </c>
      <c r="I10" s="62">
        <f t="shared" si="1"/>
        <v>2.383440662224849</v>
      </c>
      <c r="J10" s="37"/>
    </row>
    <row r="11" spans="1:10" ht="17.100000000000001" customHeight="1" x14ac:dyDescent="0.25">
      <c r="A11" s="159" t="s">
        <v>17</v>
      </c>
      <c r="B11" s="102">
        <v>32</v>
      </c>
      <c r="C11" s="103">
        <v>4</v>
      </c>
      <c r="D11" s="104">
        <v>8</v>
      </c>
      <c r="E11" s="103">
        <v>2</v>
      </c>
      <c r="F11" s="104">
        <v>1</v>
      </c>
      <c r="G11" s="105">
        <v>0</v>
      </c>
      <c r="H11" s="106">
        <f t="shared" si="2"/>
        <v>47</v>
      </c>
      <c r="I11" s="107">
        <f t="shared" si="1"/>
        <v>1.8986730699079304</v>
      </c>
      <c r="J11" s="30"/>
    </row>
    <row r="12" spans="1:10" ht="17.100000000000001" customHeight="1" x14ac:dyDescent="0.25">
      <c r="A12" s="159" t="s">
        <v>18</v>
      </c>
      <c r="B12" s="102">
        <v>0</v>
      </c>
      <c r="C12" s="103">
        <v>0</v>
      </c>
      <c r="D12" s="104">
        <v>0</v>
      </c>
      <c r="E12" s="103">
        <v>1</v>
      </c>
      <c r="F12" s="104">
        <v>0</v>
      </c>
      <c r="G12" s="105">
        <v>0</v>
      </c>
      <c r="H12" s="106">
        <f>SUM(B12:G12)</f>
        <v>1</v>
      </c>
      <c r="I12" s="114">
        <f t="shared" si="1"/>
        <v>4.0397299359743205E-2</v>
      </c>
      <c r="J12" s="30"/>
    </row>
    <row r="13" spans="1:10" s="37" customFormat="1" ht="17.100000000000001" customHeight="1" x14ac:dyDescent="0.25">
      <c r="A13" s="159" t="s">
        <v>19</v>
      </c>
      <c r="B13" s="102">
        <v>0</v>
      </c>
      <c r="C13" s="103">
        <v>1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1</v>
      </c>
      <c r="I13" s="114">
        <f t="shared" si="1"/>
        <v>4.0397299359743205E-2</v>
      </c>
      <c r="J13" s="30"/>
    </row>
    <row r="14" spans="1:10" s="30" customFormat="1" ht="17.100000000000001" customHeight="1" x14ac:dyDescent="0.25">
      <c r="A14" s="159" t="s">
        <v>20</v>
      </c>
      <c r="B14" s="102">
        <v>2</v>
      </c>
      <c r="C14" s="103">
        <v>0</v>
      </c>
      <c r="D14" s="104">
        <v>0</v>
      </c>
      <c r="E14" s="103">
        <v>0</v>
      </c>
      <c r="F14" s="104">
        <v>0</v>
      </c>
      <c r="G14" s="105">
        <v>0</v>
      </c>
      <c r="H14" s="106">
        <f>SUM(B14:G14)</f>
        <v>2</v>
      </c>
      <c r="I14" s="158" t="e">
        <f>H14/#REF! * 100000</f>
        <v>#REF!</v>
      </c>
      <c r="J14" s="157"/>
    </row>
    <row r="15" spans="1:10" s="30" customFormat="1" ht="17.100000000000001" customHeight="1" x14ac:dyDescent="0.25">
      <c r="A15" s="160" t="s">
        <v>40</v>
      </c>
      <c r="B15" s="115">
        <v>6</v>
      </c>
      <c r="C15" s="116">
        <v>1</v>
      </c>
      <c r="D15" s="117">
        <v>0</v>
      </c>
      <c r="E15" s="116">
        <v>1</v>
      </c>
      <c r="F15" s="117">
        <v>0</v>
      </c>
      <c r="G15" s="118">
        <v>0</v>
      </c>
      <c r="H15" s="119">
        <f t="shared" si="2"/>
        <v>8</v>
      </c>
      <c r="I15" s="151">
        <f t="shared" ref="I15:I46" si="4">H15/B$83 * 100000</f>
        <v>0.32317839487794564</v>
      </c>
      <c r="J15" s="1"/>
    </row>
    <row r="16" spans="1:10" s="30" customFormat="1" ht="17.100000000000001" customHeight="1" x14ac:dyDescent="0.25">
      <c r="A16" s="32" t="s">
        <v>49</v>
      </c>
      <c r="B16" s="33">
        <f t="shared" ref="B16:G16" si="5">SUM(B17:B20)</f>
        <v>17405</v>
      </c>
      <c r="C16" s="34">
        <f t="shared" si="5"/>
        <v>2277</v>
      </c>
      <c r="D16" s="31">
        <f t="shared" si="5"/>
        <v>6155</v>
      </c>
      <c r="E16" s="34">
        <f t="shared" si="5"/>
        <v>7154</v>
      </c>
      <c r="F16" s="31">
        <f t="shared" si="5"/>
        <v>3165</v>
      </c>
      <c r="G16" s="35">
        <f t="shared" si="5"/>
        <v>5778</v>
      </c>
      <c r="H16" s="36">
        <f t="shared" si="2"/>
        <v>41934</v>
      </c>
      <c r="I16" s="75">
        <f t="shared" si="4"/>
        <v>1694.0203513514714</v>
      </c>
      <c r="J16" s="37"/>
    </row>
    <row r="17" spans="1:10" s="30" customFormat="1" ht="17.100000000000001" customHeight="1" x14ac:dyDescent="0.25">
      <c r="A17" s="159" t="s">
        <v>17</v>
      </c>
      <c r="B17" s="102">
        <v>17395</v>
      </c>
      <c r="C17" s="103">
        <v>2270</v>
      </c>
      <c r="D17" s="104">
        <v>6148</v>
      </c>
      <c r="E17" s="103">
        <v>7148</v>
      </c>
      <c r="F17" s="104">
        <v>3165</v>
      </c>
      <c r="G17" s="105">
        <v>5778</v>
      </c>
      <c r="H17" s="106">
        <f t="shared" si="2"/>
        <v>41904</v>
      </c>
      <c r="I17" s="121">
        <f t="shared" si="4"/>
        <v>1692.8084323706789</v>
      </c>
    </row>
    <row r="18" spans="1:10" s="30" customFormat="1" ht="17.100000000000001" customHeight="1" x14ac:dyDescent="0.25">
      <c r="A18" s="159" t="s">
        <v>18</v>
      </c>
      <c r="B18" s="102">
        <v>0</v>
      </c>
      <c r="C18" s="103">
        <v>1</v>
      </c>
      <c r="D18" s="104">
        <v>2</v>
      </c>
      <c r="E18" s="103">
        <v>2</v>
      </c>
      <c r="F18" s="104">
        <v>0</v>
      </c>
      <c r="G18" s="105">
        <v>0</v>
      </c>
      <c r="H18" s="106">
        <f t="shared" si="2"/>
        <v>5</v>
      </c>
      <c r="I18" s="122">
        <f t="shared" si="4"/>
        <v>0.20198649679871603</v>
      </c>
    </row>
    <row r="19" spans="1:10" ht="17.100000000000001" customHeight="1" x14ac:dyDescent="0.25">
      <c r="A19" s="159" t="s">
        <v>19</v>
      </c>
      <c r="B19" s="102">
        <v>1</v>
      </c>
      <c r="C19" s="103">
        <v>1</v>
      </c>
      <c r="D19" s="104">
        <v>1</v>
      </c>
      <c r="E19" s="103">
        <v>0</v>
      </c>
      <c r="F19" s="104">
        <v>0</v>
      </c>
      <c r="G19" s="105">
        <v>0</v>
      </c>
      <c r="H19" s="106">
        <f>SUM(B19:G19)</f>
        <v>3</v>
      </c>
      <c r="I19" s="122">
        <f t="shared" si="4"/>
        <v>0.1211918980792296</v>
      </c>
      <c r="J19" s="30"/>
    </row>
    <row r="20" spans="1:10" s="37" customFormat="1" ht="17.100000000000001" customHeight="1" x14ac:dyDescent="0.25">
      <c r="A20" s="161" t="s">
        <v>20</v>
      </c>
      <c r="B20" s="115">
        <v>9</v>
      </c>
      <c r="C20" s="116">
        <v>5</v>
      </c>
      <c r="D20" s="117">
        <v>4</v>
      </c>
      <c r="E20" s="116">
        <v>4</v>
      </c>
      <c r="F20" s="117">
        <v>0</v>
      </c>
      <c r="G20" s="118">
        <v>0</v>
      </c>
      <c r="H20" s="119">
        <f>SUM(B20:G20)</f>
        <v>22</v>
      </c>
      <c r="I20" s="123">
        <f t="shared" si="4"/>
        <v>0.88874058591435057</v>
      </c>
      <c r="J20" s="30"/>
    </row>
    <row r="21" spans="1:10" s="30" customFormat="1" ht="17.100000000000001" customHeight="1" x14ac:dyDescent="0.25">
      <c r="A21" s="162" t="s">
        <v>50</v>
      </c>
      <c r="B21" s="33">
        <f t="shared" ref="B21:G21" si="6">SUM(B22:B25)</f>
        <v>67</v>
      </c>
      <c r="C21" s="34">
        <f t="shared" si="6"/>
        <v>38</v>
      </c>
      <c r="D21" s="31">
        <f t="shared" si="6"/>
        <v>109</v>
      </c>
      <c r="E21" s="34">
        <f t="shared" si="6"/>
        <v>67</v>
      </c>
      <c r="F21" s="31">
        <f t="shared" si="6"/>
        <v>11</v>
      </c>
      <c r="G21" s="35">
        <f t="shared" si="6"/>
        <v>15</v>
      </c>
      <c r="H21" s="124">
        <f t="shared" si="2"/>
        <v>307</v>
      </c>
      <c r="I21" s="125">
        <f t="shared" si="4"/>
        <v>12.401970903441162</v>
      </c>
    </row>
    <row r="22" spans="1:10" s="30" customFormat="1" ht="17.100000000000001" customHeight="1" x14ac:dyDescent="0.25">
      <c r="A22" s="159" t="s">
        <v>17</v>
      </c>
      <c r="B22" s="102">
        <v>61</v>
      </c>
      <c r="C22" s="103">
        <v>37</v>
      </c>
      <c r="D22" s="104">
        <v>103</v>
      </c>
      <c r="E22" s="103">
        <v>61</v>
      </c>
      <c r="F22" s="104">
        <v>10</v>
      </c>
      <c r="G22" s="105">
        <v>15</v>
      </c>
      <c r="H22" s="106">
        <f t="shared" si="2"/>
        <v>287</v>
      </c>
      <c r="I22" s="121">
        <f t="shared" si="4"/>
        <v>11.594024916246299</v>
      </c>
    </row>
    <row r="23" spans="1:10" s="30" customFormat="1" ht="17.100000000000001" customHeight="1" x14ac:dyDescent="0.25">
      <c r="A23" s="159" t="s">
        <v>18</v>
      </c>
      <c r="B23" s="102">
        <v>0</v>
      </c>
      <c r="C23" s="103">
        <v>0</v>
      </c>
      <c r="D23" s="104">
        <v>1</v>
      </c>
      <c r="E23" s="103">
        <v>1</v>
      </c>
      <c r="F23" s="104">
        <v>0</v>
      </c>
      <c r="G23" s="105">
        <v>0</v>
      </c>
      <c r="H23" s="106">
        <f t="shared" si="2"/>
        <v>2</v>
      </c>
      <c r="I23" s="122">
        <f t="shared" si="4"/>
        <v>8.079459871948641E-2</v>
      </c>
    </row>
    <row r="24" spans="1:10" s="30" customFormat="1" ht="17.100000000000001" customHeight="1" x14ac:dyDescent="0.25">
      <c r="A24" s="159" t="s">
        <v>19</v>
      </c>
      <c r="B24" s="102">
        <v>2</v>
      </c>
      <c r="C24" s="103">
        <v>0</v>
      </c>
      <c r="D24" s="104">
        <v>3</v>
      </c>
      <c r="E24" s="103">
        <v>0</v>
      </c>
      <c r="F24" s="104">
        <v>0</v>
      </c>
      <c r="G24" s="105">
        <v>0</v>
      </c>
      <c r="H24" s="106">
        <f t="shared" si="2"/>
        <v>5</v>
      </c>
      <c r="I24" s="122">
        <f t="shared" si="4"/>
        <v>0.20198649679871603</v>
      </c>
    </row>
    <row r="25" spans="1:10" s="30" customFormat="1" ht="17.100000000000001" customHeight="1" x14ac:dyDescent="0.25">
      <c r="A25" s="161" t="s">
        <v>20</v>
      </c>
      <c r="B25" s="102">
        <v>4</v>
      </c>
      <c r="C25" s="103">
        <v>1</v>
      </c>
      <c r="D25" s="104">
        <v>2</v>
      </c>
      <c r="E25" s="103">
        <v>5</v>
      </c>
      <c r="F25" s="104">
        <v>1</v>
      </c>
      <c r="G25" s="153">
        <v>0</v>
      </c>
      <c r="H25" s="119">
        <f t="shared" si="2"/>
        <v>13</v>
      </c>
      <c r="I25" s="126">
        <f t="shared" si="4"/>
        <v>0.52516489167666158</v>
      </c>
    </row>
    <row r="26" spans="1:10" s="30" customFormat="1" ht="17.100000000000001" customHeight="1" x14ac:dyDescent="0.25">
      <c r="A26" s="162" t="s">
        <v>55</v>
      </c>
      <c r="B26" s="33">
        <f t="shared" ref="B26:G26" si="7">SUM(B27:B30)</f>
        <v>529</v>
      </c>
      <c r="C26" s="34">
        <f t="shared" si="7"/>
        <v>213</v>
      </c>
      <c r="D26" s="31">
        <f t="shared" si="7"/>
        <v>518</v>
      </c>
      <c r="E26" s="34">
        <f t="shared" si="7"/>
        <v>352</v>
      </c>
      <c r="F26" s="31">
        <f t="shared" si="7"/>
        <v>61</v>
      </c>
      <c r="G26" s="90">
        <f t="shared" si="7"/>
        <v>40</v>
      </c>
      <c r="H26" s="124">
        <f t="shared" si="2"/>
        <v>1713</v>
      </c>
      <c r="I26" s="125">
        <f t="shared" si="4"/>
        <v>69.200573803240104</v>
      </c>
    </row>
    <row r="27" spans="1:10" s="30" customFormat="1" ht="17.100000000000001" customHeight="1" x14ac:dyDescent="0.25">
      <c r="A27" s="159" t="s">
        <v>17</v>
      </c>
      <c r="B27" s="102">
        <v>525</v>
      </c>
      <c r="C27" s="103">
        <v>212</v>
      </c>
      <c r="D27" s="104">
        <v>514</v>
      </c>
      <c r="E27" s="103">
        <v>349</v>
      </c>
      <c r="F27" s="104">
        <v>61</v>
      </c>
      <c r="G27" s="105">
        <v>40</v>
      </c>
      <c r="H27" s="106">
        <f>SUM(B27:G27)</f>
        <v>1701</v>
      </c>
      <c r="I27" s="121">
        <f t="shared" si="4"/>
        <v>68.715806210923191</v>
      </c>
    </row>
    <row r="28" spans="1:10" s="30" customFormat="1" ht="17.100000000000001" customHeight="1" x14ac:dyDescent="0.25">
      <c r="A28" s="159" t="s">
        <v>18</v>
      </c>
      <c r="B28" s="102">
        <v>0</v>
      </c>
      <c r="C28" s="103">
        <v>0</v>
      </c>
      <c r="D28" s="104">
        <v>0</v>
      </c>
      <c r="E28" s="103">
        <v>0</v>
      </c>
      <c r="F28" s="104">
        <v>0</v>
      </c>
      <c r="G28" s="105">
        <v>0</v>
      </c>
      <c r="H28" s="106">
        <f>SUM(B28:G28)</f>
        <v>0</v>
      </c>
      <c r="I28" s="121">
        <f t="shared" si="4"/>
        <v>0</v>
      </c>
    </row>
    <row r="29" spans="1:10" s="30" customFormat="1" ht="17.100000000000001" customHeight="1" x14ac:dyDescent="0.25">
      <c r="A29" s="159" t="s">
        <v>19</v>
      </c>
      <c r="B29" s="102">
        <v>3</v>
      </c>
      <c r="C29" s="103">
        <v>0</v>
      </c>
      <c r="D29" s="104">
        <v>4</v>
      </c>
      <c r="E29" s="103">
        <v>0</v>
      </c>
      <c r="F29" s="104">
        <v>0</v>
      </c>
      <c r="G29" s="105">
        <v>0</v>
      </c>
      <c r="H29" s="106">
        <f>SUM(B29:G29)</f>
        <v>7</v>
      </c>
      <c r="I29" s="122">
        <f t="shared" si="4"/>
        <v>0.28278109551820241</v>
      </c>
    </row>
    <row r="30" spans="1:10" s="30" customFormat="1" ht="17.100000000000001" customHeight="1" x14ac:dyDescent="0.25">
      <c r="A30" s="160" t="s">
        <v>20</v>
      </c>
      <c r="B30" s="102">
        <v>1</v>
      </c>
      <c r="C30" s="103">
        <v>1</v>
      </c>
      <c r="D30" s="104">
        <v>0</v>
      </c>
      <c r="E30" s="103">
        <v>3</v>
      </c>
      <c r="F30" s="104">
        <v>0</v>
      </c>
      <c r="G30" s="153">
        <v>0</v>
      </c>
      <c r="H30" s="131">
        <f t="shared" si="2"/>
        <v>5</v>
      </c>
      <c r="I30" s="132">
        <f t="shared" si="4"/>
        <v>0.20198649679871603</v>
      </c>
      <c r="J30" s="1"/>
    </row>
    <row r="31" spans="1:10" s="37" customFormat="1" ht="17.100000000000001" customHeight="1" x14ac:dyDescent="0.25">
      <c r="A31" s="32" t="s">
        <v>52</v>
      </c>
      <c r="B31" s="33">
        <f t="shared" ref="B31:G31" si="8">SUM(B32:B36)</f>
        <v>47</v>
      </c>
      <c r="C31" s="34">
        <f t="shared" si="8"/>
        <v>155</v>
      </c>
      <c r="D31" s="31">
        <f t="shared" si="8"/>
        <v>131</v>
      </c>
      <c r="E31" s="34">
        <f t="shared" si="8"/>
        <v>55</v>
      </c>
      <c r="F31" s="31">
        <f t="shared" si="8"/>
        <v>3</v>
      </c>
      <c r="G31" s="35">
        <f t="shared" si="8"/>
        <v>1</v>
      </c>
      <c r="H31" s="36">
        <f t="shared" si="2"/>
        <v>392</v>
      </c>
      <c r="I31" s="75">
        <f t="shared" si="4"/>
        <v>15.835741349019335</v>
      </c>
    </row>
    <row r="32" spans="1:10" s="30" customFormat="1" ht="17.100000000000001" customHeight="1" x14ac:dyDescent="0.25">
      <c r="A32" s="159" t="s">
        <v>17</v>
      </c>
      <c r="B32" s="102">
        <v>20</v>
      </c>
      <c r="C32" s="103">
        <v>51</v>
      </c>
      <c r="D32" s="104">
        <v>37</v>
      </c>
      <c r="E32" s="103">
        <v>21</v>
      </c>
      <c r="F32" s="104">
        <v>1</v>
      </c>
      <c r="G32" s="105">
        <v>1</v>
      </c>
      <c r="H32" s="106">
        <f t="shared" si="2"/>
        <v>131</v>
      </c>
      <c r="I32" s="121">
        <f t="shared" si="4"/>
        <v>5.2920462161263595</v>
      </c>
    </row>
    <row r="33" spans="1:10" s="30" customFormat="1" ht="17.100000000000001" customHeight="1" x14ac:dyDescent="0.25">
      <c r="A33" s="159" t="s">
        <v>18</v>
      </c>
      <c r="B33" s="102">
        <v>0</v>
      </c>
      <c r="C33" s="103">
        <v>0</v>
      </c>
      <c r="D33" s="103">
        <v>0</v>
      </c>
      <c r="E33" s="103">
        <v>0</v>
      </c>
      <c r="F33" s="104">
        <v>0</v>
      </c>
      <c r="G33" s="105">
        <v>0</v>
      </c>
      <c r="H33" s="106">
        <f t="shared" si="2"/>
        <v>0</v>
      </c>
      <c r="I33" s="121">
        <f t="shared" si="4"/>
        <v>0</v>
      </c>
    </row>
    <row r="34" spans="1:10" s="30" customFormat="1" ht="17.100000000000001" customHeight="1" x14ac:dyDescent="0.25">
      <c r="A34" s="159" t="s">
        <v>19</v>
      </c>
      <c r="B34" s="102">
        <v>25</v>
      </c>
      <c r="C34" s="103">
        <v>87</v>
      </c>
      <c r="D34" s="104">
        <v>74</v>
      </c>
      <c r="E34" s="103">
        <v>32</v>
      </c>
      <c r="F34" s="104">
        <v>2</v>
      </c>
      <c r="G34" s="105">
        <v>0</v>
      </c>
      <c r="H34" s="106">
        <f t="shared" si="2"/>
        <v>220</v>
      </c>
      <c r="I34" s="121">
        <f t="shared" si="4"/>
        <v>8.8874058591435059</v>
      </c>
    </row>
    <row r="35" spans="1:10" ht="17.100000000000001" customHeight="1" x14ac:dyDescent="0.25">
      <c r="A35" s="159" t="s">
        <v>38</v>
      </c>
      <c r="B35" s="108">
        <v>1</v>
      </c>
      <c r="C35" s="109">
        <v>5</v>
      </c>
      <c r="D35" s="110">
        <v>8</v>
      </c>
      <c r="E35" s="109">
        <v>1</v>
      </c>
      <c r="F35" s="110">
        <v>0</v>
      </c>
      <c r="G35" s="111">
        <v>0</v>
      </c>
      <c r="H35" s="106">
        <f t="shared" si="2"/>
        <v>15</v>
      </c>
      <c r="I35" s="114">
        <f t="shared" si="4"/>
        <v>0.60595949039614805</v>
      </c>
    </row>
    <row r="36" spans="1:10" s="30" customFormat="1" ht="17.100000000000001" customHeight="1" x14ac:dyDescent="0.25">
      <c r="A36" s="160" t="s">
        <v>20</v>
      </c>
      <c r="B36" s="102">
        <v>1</v>
      </c>
      <c r="C36" s="103">
        <v>12</v>
      </c>
      <c r="D36" s="104">
        <v>12</v>
      </c>
      <c r="E36" s="103">
        <v>1</v>
      </c>
      <c r="F36" s="104">
        <v>0</v>
      </c>
      <c r="G36" s="105">
        <v>0</v>
      </c>
      <c r="H36" s="106">
        <f t="shared" si="2"/>
        <v>26</v>
      </c>
      <c r="I36" s="121">
        <f t="shared" si="4"/>
        <v>1.0503297833533232</v>
      </c>
    </row>
    <row r="37" spans="1:10" s="30" customFormat="1" ht="17.100000000000001" customHeight="1" x14ac:dyDescent="0.25">
      <c r="A37" s="39" t="s">
        <v>12</v>
      </c>
      <c r="B37" s="40">
        <v>24</v>
      </c>
      <c r="C37" s="41">
        <v>45</v>
      </c>
      <c r="D37" s="42">
        <v>126</v>
      </c>
      <c r="E37" s="41">
        <v>93</v>
      </c>
      <c r="F37" s="42">
        <v>16</v>
      </c>
      <c r="G37" s="43">
        <v>5</v>
      </c>
      <c r="H37" s="44">
        <f t="shared" si="2"/>
        <v>309</v>
      </c>
      <c r="I37" s="76">
        <f t="shared" si="4"/>
        <v>12.48276550216065</v>
      </c>
      <c r="J37" s="37"/>
    </row>
    <row r="38" spans="1:10" s="30" customFormat="1" ht="17.100000000000001" customHeight="1" x14ac:dyDescent="0.25">
      <c r="A38" s="32" t="s">
        <v>54</v>
      </c>
      <c r="B38" s="33">
        <f>SUM(B39+B45+B46+B47)</f>
        <v>2057</v>
      </c>
      <c r="C38" s="34">
        <f t="shared" ref="C38:H38" si="9">SUM(C39+C45+C46+C47)</f>
        <v>3652</v>
      </c>
      <c r="D38" s="31">
        <f t="shared" si="9"/>
        <v>5956</v>
      </c>
      <c r="E38" s="34">
        <f t="shared" si="9"/>
        <v>3733</v>
      </c>
      <c r="F38" s="31">
        <f t="shared" si="9"/>
        <v>756</v>
      </c>
      <c r="G38" s="35">
        <f t="shared" si="9"/>
        <v>486</v>
      </c>
      <c r="H38" s="36">
        <f t="shared" si="9"/>
        <v>16640</v>
      </c>
      <c r="I38" s="75">
        <f t="shared" si="4"/>
        <v>672.21106134612683</v>
      </c>
      <c r="J38" s="37"/>
    </row>
    <row r="39" spans="1:10" s="30" customFormat="1" ht="17.100000000000001" customHeight="1" x14ac:dyDescent="0.25">
      <c r="A39" s="159" t="s">
        <v>17</v>
      </c>
      <c r="B39" s="102">
        <f t="shared" ref="B39:G39" si="10">SUM(B40:B44)</f>
        <v>2055</v>
      </c>
      <c r="C39" s="103">
        <f t="shared" si="10"/>
        <v>3650</v>
      </c>
      <c r="D39" s="104">
        <f t="shared" si="10"/>
        <v>5956</v>
      </c>
      <c r="E39" s="103">
        <f t="shared" si="10"/>
        <v>3729</v>
      </c>
      <c r="F39" s="104">
        <f t="shared" si="10"/>
        <v>756</v>
      </c>
      <c r="G39" s="105">
        <f t="shared" si="10"/>
        <v>486</v>
      </c>
      <c r="H39" s="106">
        <f t="shared" si="2"/>
        <v>16632</v>
      </c>
      <c r="I39" s="121">
        <f t="shared" si="4"/>
        <v>671.88788295124891</v>
      </c>
    </row>
    <row r="40" spans="1:10" s="30" customFormat="1" ht="17.100000000000001" customHeight="1" x14ac:dyDescent="0.25">
      <c r="A40" s="159" t="s">
        <v>24</v>
      </c>
      <c r="B40" s="102">
        <v>1552</v>
      </c>
      <c r="C40" s="103">
        <v>2839</v>
      </c>
      <c r="D40" s="104">
        <v>4532</v>
      </c>
      <c r="E40" s="103">
        <v>2864</v>
      </c>
      <c r="F40" s="104">
        <v>598</v>
      </c>
      <c r="G40" s="105">
        <v>390</v>
      </c>
      <c r="H40" s="106">
        <f t="shared" si="2"/>
        <v>12775</v>
      </c>
      <c r="I40" s="121">
        <f t="shared" si="4"/>
        <v>516.07549932071947</v>
      </c>
    </row>
    <row r="41" spans="1:10" s="30" customFormat="1" ht="17.100000000000001" customHeight="1" x14ac:dyDescent="0.25">
      <c r="A41" s="159" t="s">
        <v>25</v>
      </c>
      <c r="B41" s="102">
        <v>66</v>
      </c>
      <c r="C41" s="103">
        <v>276</v>
      </c>
      <c r="D41" s="104">
        <v>378</v>
      </c>
      <c r="E41" s="103">
        <v>146</v>
      </c>
      <c r="F41" s="104">
        <v>11</v>
      </c>
      <c r="G41" s="105">
        <v>0</v>
      </c>
      <c r="H41" s="106">
        <f t="shared" si="2"/>
        <v>877</v>
      </c>
      <c r="I41" s="121">
        <f t="shared" si="4"/>
        <v>35.428431538494785</v>
      </c>
    </row>
    <row r="42" spans="1:10" s="30" customFormat="1" ht="17.100000000000001" customHeight="1" x14ac:dyDescent="0.25">
      <c r="A42" s="159" t="s">
        <v>26</v>
      </c>
      <c r="B42" s="102">
        <v>69</v>
      </c>
      <c r="C42" s="103">
        <v>44</v>
      </c>
      <c r="D42" s="104">
        <v>135</v>
      </c>
      <c r="E42" s="103">
        <v>114</v>
      </c>
      <c r="F42" s="104">
        <v>13</v>
      </c>
      <c r="G42" s="105">
        <v>5</v>
      </c>
      <c r="H42" s="106">
        <f t="shared" si="2"/>
        <v>380</v>
      </c>
      <c r="I42" s="121">
        <f t="shared" si="4"/>
        <v>15.350973756702416</v>
      </c>
    </row>
    <row r="43" spans="1:10" s="30" customFormat="1" ht="17.100000000000001" customHeight="1" x14ac:dyDescent="0.25">
      <c r="A43" s="159" t="s">
        <v>27</v>
      </c>
      <c r="B43" s="102">
        <v>198</v>
      </c>
      <c r="C43" s="103">
        <v>143</v>
      </c>
      <c r="D43" s="104">
        <v>239</v>
      </c>
      <c r="E43" s="103">
        <v>244</v>
      </c>
      <c r="F43" s="104">
        <v>59</v>
      </c>
      <c r="G43" s="105">
        <v>50</v>
      </c>
      <c r="H43" s="106">
        <f t="shared" si="2"/>
        <v>933</v>
      </c>
      <c r="I43" s="121">
        <f t="shared" si="4"/>
        <v>37.690680302640409</v>
      </c>
    </row>
    <row r="44" spans="1:10" s="30" customFormat="1" ht="17.100000000000001" customHeight="1" x14ac:dyDescent="0.25">
      <c r="A44" s="159" t="s">
        <v>28</v>
      </c>
      <c r="B44" s="102">
        <v>170</v>
      </c>
      <c r="C44" s="103">
        <v>348</v>
      </c>
      <c r="D44" s="104">
        <v>672</v>
      </c>
      <c r="E44" s="103">
        <v>361</v>
      </c>
      <c r="F44" s="104">
        <v>75</v>
      </c>
      <c r="G44" s="105">
        <v>41</v>
      </c>
      <c r="H44" s="106">
        <f t="shared" si="2"/>
        <v>1667</v>
      </c>
      <c r="I44" s="121">
        <f t="shared" si="4"/>
        <v>67.342298032691914</v>
      </c>
    </row>
    <row r="45" spans="1:10" ht="17.100000000000001" customHeight="1" x14ac:dyDescent="0.25">
      <c r="A45" s="159" t="s">
        <v>18</v>
      </c>
      <c r="B45" s="102">
        <v>0</v>
      </c>
      <c r="C45" s="103">
        <v>0</v>
      </c>
      <c r="D45" s="104">
        <v>0</v>
      </c>
      <c r="E45" s="103">
        <v>0</v>
      </c>
      <c r="F45" s="104">
        <v>0</v>
      </c>
      <c r="G45" s="105">
        <v>0</v>
      </c>
      <c r="H45" s="106">
        <f t="shared" si="2"/>
        <v>0</v>
      </c>
      <c r="I45" s="121">
        <f t="shared" si="4"/>
        <v>0</v>
      </c>
      <c r="J45" s="30"/>
    </row>
    <row r="46" spans="1:10" ht="17.100000000000001" customHeight="1" x14ac:dyDescent="0.25">
      <c r="A46" s="159" t="s">
        <v>19</v>
      </c>
      <c r="B46" s="133">
        <v>2</v>
      </c>
      <c r="C46" s="134">
        <v>1</v>
      </c>
      <c r="D46" s="135">
        <v>0</v>
      </c>
      <c r="E46" s="134">
        <v>3</v>
      </c>
      <c r="F46" s="135">
        <v>0</v>
      </c>
      <c r="G46" s="136">
        <v>0</v>
      </c>
      <c r="H46" s="106">
        <f>SUM(B46:G46)</f>
        <v>6</v>
      </c>
      <c r="I46" s="122">
        <f t="shared" si="4"/>
        <v>0.2423837961584592</v>
      </c>
      <c r="J46" s="30"/>
    </row>
    <row r="47" spans="1:10" ht="17.100000000000001" customHeight="1" x14ac:dyDescent="0.25">
      <c r="A47" s="163" t="s">
        <v>21</v>
      </c>
      <c r="B47" s="137">
        <v>0</v>
      </c>
      <c r="C47" s="138">
        <v>1</v>
      </c>
      <c r="D47" s="139">
        <v>0</v>
      </c>
      <c r="E47" s="138">
        <v>1</v>
      </c>
      <c r="F47" s="139">
        <v>0</v>
      </c>
      <c r="G47" s="140">
        <v>0</v>
      </c>
      <c r="H47" s="141">
        <f>SUM(B47:G47)</f>
        <v>2</v>
      </c>
      <c r="I47" s="152">
        <f t="shared" ref="I47:I78" si="11">H47/B$83 * 100000</f>
        <v>8.079459871948641E-2</v>
      </c>
    </row>
    <row r="48" spans="1:10" s="37" customFormat="1" ht="17.100000000000001" customHeight="1" x14ac:dyDescent="0.25">
      <c r="A48" s="39" t="s">
        <v>32</v>
      </c>
      <c r="B48" s="40">
        <v>733</v>
      </c>
      <c r="C48" s="41">
        <v>134</v>
      </c>
      <c r="D48" s="42">
        <v>337</v>
      </c>
      <c r="E48" s="41">
        <v>251</v>
      </c>
      <c r="F48" s="42">
        <v>25</v>
      </c>
      <c r="G48" s="43">
        <v>9</v>
      </c>
      <c r="H48" s="44">
        <f t="shared" si="2"/>
        <v>1489</v>
      </c>
      <c r="I48" s="76">
        <f t="shared" si="11"/>
        <v>60.151578746657627</v>
      </c>
    </row>
    <row r="49" spans="1:10" s="30" customFormat="1" ht="17.100000000000001" customHeight="1" x14ac:dyDescent="0.25">
      <c r="A49" s="39" t="s">
        <v>33</v>
      </c>
      <c r="B49" s="40">
        <v>24</v>
      </c>
      <c r="C49" s="41">
        <v>5</v>
      </c>
      <c r="D49" s="42">
        <v>11</v>
      </c>
      <c r="E49" s="41">
        <v>15</v>
      </c>
      <c r="F49" s="42">
        <v>4</v>
      </c>
      <c r="G49" s="43">
        <v>3</v>
      </c>
      <c r="H49" s="44">
        <f t="shared" si="2"/>
        <v>62</v>
      </c>
      <c r="I49" s="76">
        <f t="shared" si="11"/>
        <v>2.5046325603040787</v>
      </c>
      <c r="J49" s="37"/>
    </row>
    <row r="50" spans="1:10" s="30" customFormat="1" ht="17.100000000000001" customHeight="1" x14ac:dyDescent="0.25">
      <c r="A50" s="32" t="s">
        <v>47</v>
      </c>
      <c r="B50" s="33">
        <f t="shared" ref="B50:G50" si="12">SUM(B51:B54)</f>
        <v>190</v>
      </c>
      <c r="C50" s="34">
        <f t="shared" si="12"/>
        <v>109</v>
      </c>
      <c r="D50" s="31">
        <f t="shared" si="12"/>
        <v>217</v>
      </c>
      <c r="E50" s="34">
        <f t="shared" si="12"/>
        <v>115</v>
      </c>
      <c r="F50" s="31">
        <f t="shared" si="12"/>
        <v>13</v>
      </c>
      <c r="G50" s="35">
        <f t="shared" si="12"/>
        <v>9</v>
      </c>
      <c r="H50" s="36">
        <f t="shared" si="2"/>
        <v>653</v>
      </c>
      <c r="I50" s="75">
        <f t="shared" si="11"/>
        <v>26.379436481912311</v>
      </c>
      <c r="J50" s="37"/>
    </row>
    <row r="51" spans="1:10" s="30" customFormat="1" ht="17.100000000000001" customHeight="1" x14ac:dyDescent="0.25">
      <c r="A51" s="159" t="s">
        <v>17</v>
      </c>
      <c r="B51" s="102">
        <v>190</v>
      </c>
      <c r="C51" s="103">
        <v>109</v>
      </c>
      <c r="D51" s="104">
        <v>217</v>
      </c>
      <c r="E51" s="103">
        <v>115</v>
      </c>
      <c r="F51" s="104">
        <v>13</v>
      </c>
      <c r="G51" s="105">
        <v>9</v>
      </c>
      <c r="H51" s="106">
        <f t="shared" si="2"/>
        <v>653</v>
      </c>
      <c r="I51" s="121">
        <f t="shared" si="11"/>
        <v>26.379436481912311</v>
      </c>
    </row>
    <row r="52" spans="1:10" s="30" customFormat="1" ht="17.100000000000001" customHeight="1" x14ac:dyDescent="0.25">
      <c r="A52" s="160" t="s">
        <v>18</v>
      </c>
      <c r="B52" s="108">
        <v>0</v>
      </c>
      <c r="C52" s="109">
        <v>0</v>
      </c>
      <c r="D52" s="110">
        <v>0</v>
      </c>
      <c r="E52" s="109">
        <v>0</v>
      </c>
      <c r="F52" s="110">
        <v>0</v>
      </c>
      <c r="G52" s="111">
        <v>0</v>
      </c>
      <c r="H52" s="112">
        <f t="shared" si="2"/>
        <v>0</v>
      </c>
      <c r="I52" s="143">
        <f t="shared" si="11"/>
        <v>0</v>
      </c>
      <c r="J52" s="1"/>
    </row>
    <row r="53" spans="1:10" s="30" customFormat="1" ht="17.100000000000001" customHeight="1" x14ac:dyDescent="0.25">
      <c r="A53" s="159" t="s">
        <v>19</v>
      </c>
      <c r="B53" s="108">
        <v>0</v>
      </c>
      <c r="C53" s="109">
        <v>0</v>
      </c>
      <c r="D53" s="110">
        <v>0</v>
      </c>
      <c r="E53" s="109">
        <v>0</v>
      </c>
      <c r="F53" s="110">
        <v>0</v>
      </c>
      <c r="G53" s="111">
        <v>0</v>
      </c>
      <c r="H53" s="112">
        <f t="shared" si="2"/>
        <v>0</v>
      </c>
      <c r="I53" s="143">
        <f t="shared" si="11"/>
        <v>0</v>
      </c>
      <c r="J53" s="1"/>
    </row>
    <row r="54" spans="1:10" s="37" customFormat="1" ht="17.100000000000001" customHeight="1" x14ac:dyDescent="0.25">
      <c r="A54" s="164" t="s">
        <v>20</v>
      </c>
      <c r="B54" s="144">
        <v>0</v>
      </c>
      <c r="C54" s="116">
        <v>0</v>
      </c>
      <c r="D54" s="116">
        <v>0</v>
      </c>
      <c r="E54" s="116">
        <v>0</v>
      </c>
      <c r="F54" s="116">
        <v>0</v>
      </c>
      <c r="G54" s="118">
        <v>0</v>
      </c>
      <c r="H54" s="119">
        <f t="shared" si="2"/>
        <v>0</v>
      </c>
      <c r="I54" s="123">
        <f t="shared" si="11"/>
        <v>0</v>
      </c>
      <c r="J54" s="1"/>
    </row>
    <row r="55" spans="1:10" s="37" customFormat="1" ht="17.100000000000001" customHeight="1" x14ac:dyDescent="0.25">
      <c r="A55" s="45" t="s">
        <v>46</v>
      </c>
      <c r="B55" s="46">
        <f t="shared" ref="B55:G55" si="13">SUM(B56:B58)</f>
        <v>2841</v>
      </c>
      <c r="C55" s="47">
        <f t="shared" si="13"/>
        <v>540</v>
      </c>
      <c r="D55" s="48">
        <f t="shared" si="13"/>
        <v>1190</v>
      </c>
      <c r="E55" s="47">
        <f t="shared" si="13"/>
        <v>966</v>
      </c>
      <c r="F55" s="48">
        <f t="shared" si="13"/>
        <v>226</v>
      </c>
      <c r="G55" s="49">
        <f t="shared" si="13"/>
        <v>177</v>
      </c>
      <c r="H55" s="50">
        <f>SUM(B55:G55)</f>
        <v>5940</v>
      </c>
      <c r="I55" s="61">
        <f t="shared" si="11"/>
        <v>239.95995819687462</v>
      </c>
    </row>
    <row r="56" spans="1:10" s="30" customFormat="1" ht="17.100000000000001" customHeight="1" x14ac:dyDescent="0.25">
      <c r="A56" s="159" t="s">
        <v>30</v>
      </c>
      <c r="B56" s="78">
        <v>2796</v>
      </c>
      <c r="C56" s="79">
        <v>517</v>
      </c>
      <c r="D56" s="80">
        <v>1128</v>
      </c>
      <c r="E56" s="79">
        <v>923</v>
      </c>
      <c r="F56" s="80">
        <v>216</v>
      </c>
      <c r="G56" s="81">
        <v>166</v>
      </c>
      <c r="H56" s="82">
        <f>SUM(B56:G56)</f>
        <v>5746</v>
      </c>
      <c r="I56" s="83">
        <f t="shared" si="11"/>
        <v>232.12288212108444</v>
      </c>
      <c r="J56" s="37"/>
    </row>
    <row r="57" spans="1:10" s="30" customFormat="1" ht="17.100000000000001" customHeight="1" x14ac:dyDescent="0.25">
      <c r="A57" s="159" t="s">
        <v>31</v>
      </c>
      <c r="B57" s="102">
        <v>45</v>
      </c>
      <c r="C57" s="103">
        <v>23</v>
      </c>
      <c r="D57" s="104">
        <v>62</v>
      </c>
      <c r="E57" s="103">
        <v>43</v>
      </c>
      <c r="F57" s="104">
        <v>10</v>
      </c>
      <c r="G57" s="105">
        <v>11</v>
      </c>
      <c r="H57" s="106">
        <f>SUM(B57:G57)</f>
        <v>194</v>
      </c>
      <c r="I57" s="121">
        <f t="shared" si="11"/>
        <v>7.837076075790181</v>
      </c>
    </row>
    <row r="58" spans="1:10" s="30" customFormat="1" ht="17.100000000000001" customHeight="1" x14ac:dyDescent="0.25">
      <c r="A58" s="159" t="s">
        <v>29</v>
      </c>
      <c r="B58" s="102">
        <v>0</v>
      </c>
      <c r="C58" s="103">
        <v>0</v>
      </c>
      <c r="D58" s="104">
        <v>0</v>
      </c>
      <c r="E58" s="103">
        <v>0</v>
      </c>
      <c r="F58" s="104">
        <v>0</v>
      </c>
      <c r="G58" s="105">
        <v>0</v>
      </c>
      <c r="H58" s="106">
        <f>SUM(B58:G58)</f>
        <v>0</v>
      </c>
      <c r="I58" s="121">
        <f t="shared" si="11"/>
        <v>0</v>
      </c>
    </row>
    <row r="59" spans="1:10" s="30" customFormat="1" ht="17.100000000000001" customHeight="1" x14ac:dyDescent="0.25">
      <c r="A59" s="39" t="s">
        <v>11</v>
      </c>
      <c r="B59" s="40">
        <v>3815</v>
      </c>
      <c r="C59" s="41">
        <v>1495</v>
      </c>
      <c r="D59" s="42">
        <v>3753</v>
      </c>
      <c r="E59" s="41">
        <v>2434</v>
      </c>
      <c r="F59" s="42">
        <v>431</v>
      </c>
      <c r="G59" s="43">
        <v>284</v>
      </c>
      <c r="H59" s="44">
        <f>SUM(B59:G59)</f>
        <v>12212</v>
      </c>
      <c r="I59" s="76">
        <f t="shared" si="11"/>
        <v>493.33181978118398</v>
      </c>
      <c r="J59" s="37"/>
    </row>
    <row r="60" spans="1:10" s="30" customFormat="1" ht="17.100000000000001" customHeight="1" x14ac:dyDescent="0.25">
      <c r="A60" s="32" t="s">
        <v>45</v>
      </c>
      <c r="B60" s="33">
        <f t="shared" ref="B60:G60" si="14">SUM(B61+B66)</f>
        <v>1003</v>
      </c>
      <c r="C60" s="47">
        <f t="shared" si="14"/>
        <v>329</v>
      </c>
      <c r="D60" s="31">
        <f t="shared" si="14"/>
        <v>654</v>
      </c>
      <c r="E60" s="34">
        <f t="shared" si="14"/>
        <v>414</v>
      </c>
      <c r="F60" s="31">
        <f t="shared" si="14"/>
        <v>76</v>
      </c>
      <c r="G60" s="35">
        <f t="shared" si="14"/>
        <v>75</v>
      </c>
      <c r="H60" s="36">
        <f t="shared" si="2"/>
        <v>2551</v>
      </c>
      <c r="I60" s="75">
        <f t="shared" si="11"/>
        <v>103.05351066670491</v>
      </c>
      <c r="J60" s="37"/>
    </row>
    <row r="61" spans="1:10" s="30" customFormat="1" ht="17.100000000000001" customHeight="1" x14ac:dyDescent="0.25">
      <c r="A61" s="51" t="s">
        <v>44</v>
      </c>
      <c r="B61" s="52">
        <f t="shared" ref="B61:G61" si="15">SUM(B62:B65)</f>
        <v>681</v>
      </c>
      <c r="C61" s="53">
        <f t="shared" si="15"/>
        <v>256</v>
      </c>
      <c r="D61" s="54">
        <f t="shared" si="15"/>
        <v>481</v>
      </c>
      <c r="E61" s="53">
        <f t="shared" si="15"/>
        <v>287</v>
      </c>
      <c r="F61" s="54">
        <f t="shared" si="15"/>
        <v>48</v>
      </c>
      <c r="G61" s="55">
        <f t="shared" si="15"/>
        <v>66</v>
      </c>
      <c r="H61" s="56">
        <f t="shared" si="2"/>
        <v>1819</v>
      </c>
      <c r="I61" s="77">
        <f t="shared" si="11"/>
        <v>73.482687535372889</v>
      </c>
    </row>
    <row r="62" spans="1:10" s="30" customFormat="1" ht="17.100000000000001" customHeight="1" x14ac:dyDescent="0.25">
      <c r="A62" s="159" t="s">
        <v>1</v>
      </c>
      <c r="B62" s="145">
        <v>522</v>
      </c>
      <c r="C62" s="146">
        <v>83</v>
      </c>
      <c r="D62" s="147">
        <v>134</v>
      </c>
      <c r="E62" s="148">
        <v>116</v>
      </c>
      <c r="F62" s="147">
        <v>28</v>
      </c>
      <c r="G62" s="149">
        <v>55</v>
      </c>
      <c r="H62" s="106">
        <f t="shared" si="2"/>
        <v>938</v>
      </c>
      <c r="I62" s="121">
        <f t="shared" si="11"/>
        <v>37.89266679943912</v>
      </c>
    </row>
    <row r="63" spans="1:10" s="30" customFormat="1" ht="17.100000000000001" customHeight="1" x14ac:dyDescent="0.25">
      <c r="A63" s="159" t="s">
        <v>22</v>
      </c>
      <c r="B63" s="102">
        <v>101</v>
      </c>
      <c r="C63" s="103">
        <v>125</v>
      </c>
      <c r="D63" s="104">
        <v>239</v>
      </c>
      <c r="E63" s="103">
        <v>109</v>
      </c>
      <c r="F63" s="104">
        <v>12</v>
      </c>
      <c r="G63" s="105">
        <v>6</v>
      </c>
      <c r="H63" s="106">
        <f t="shared" si="2"/>
        <v>592</v>
      </c>
      <c r="I63" s="121">
        <f t="shared" si="11"/>
        <v>23.915201220967976</v>
      </c>
    </row>
    <row r="64" spans="1:10" ht="17.100000000000001" customHeight="1" x14ac:dyDescent="0.25">
      <c r="A64" s="159" t="s">
        <v>23</v>
      </c>
      <c r="B64" s="102">
        <v>0</v>
      </c>
      <c r="C64" s="103">
        <v>0</v>
      </c>
      <c r="D64" s="104">
        <v>1</v>
      </c>
      <c r="E64" s="103">
        <v>1</v>
      </c>
      <c r="F64" s="104">
        <v>0</v>
      </c>
      <c r="G64" s="105">
        <v>0</v>
      </c>
      <c r="H64" s="106">
        <f>SUM(B64:G64)</f>
        <v>2</v>
      </c>
      <c r="I64" s="122">
        <f t="shared" si="11"/>
        <v>8.079459871948641E-2</v>
      </c>
      <c r="J64" s="30"/>
    </row>
    <row r="65" spans="1:10" s="37" customFormat="1" ht="17.100000000000001" customHeight="1" x14ac:dyDescent="0.25">
      <c r="A65" s="165" t="s">
        <v>2</v>
      </c>
      <c r="B65" s="145">
        <v>58</v>
      </c>
      <c r="C65" s="148">
        <v>48</v>
      </c>
      <c r="D65" s="147">
        <v>107</v>
      </c>
      <c r="E65" s="148">
        <v>61</v>
      </c>
      <c r="F65" s="147">
        <v>8</v>
      </c>
      <c r="G65" s="149">
        <v>5</v>
      </c>
      <c r="H65" s="106">
        <f t="shared" si="2"/>
        <v>287</v>
      </c>
      <c r="I65" s="121">
        <f t="shared" si="11"/>
        <v>11.594024916246299</v>
      </c>
      <c r="J65" s="30"/>
    </row>
    <row r="66" spans="1:10" s="37" customFormat="1" ht="17.100000000000001" customHeight="1" x14ac:dyDescent="0.25">
      <c r="A66" s="51" t="s">
        <v>43</v>
      </c>
      <c r="B66" s="52">
        <f t="shared" ref="B66:G66" si="16">SUM(B67:B71)</f>
        <v>322</v>
      </c>
      <c r="C66" s="53">
        <f t="shared" si="16"/>
        <v>73</v>
      </c>
      <c r="D66" s="54">
        <f t="shared" si="16"/>
        <v>173</v>
      </c>
      <c r="E66" s="53">
        <f t="shared" si="16"/>
        <v>127</v>
      </c>
      <c r="F66" s="54">
        <f t="shared" si="16"/>
        <v>28</v>
      </c>
      <c r="G66" s="55">
        <f t="shared" si="16"/>
        <v>9</v>
      </c>
      <c r="H66" s="56">
        <f t="shared" si="2"/>
        <v>732</v>
      </c>
      <c r="I66" s="77">
        <f t="shared" si="11"/>
        <v>29.570823131332023</v>
      </c>
      <c r="J66" s="30"/>
    </row>
    <row r="67" spans="1:10" s="37" customFormat="1" ht="17.100000000000001" customHeight="1" x14ac:dyDescent="0.25">
      <c r="A67" s="159" t="s">
        <v>1</v>
      </c>
      <c r="B67" s="145">
        <v>282</v>
      </c>
      <c r="C67" s="148">
        <v>38</v>
      </c>
      <c r="D67" s="147">
        <v>102</v>
      </c>
      <c r="E67" s="148">
        <v>92</v>
      </c>
      <c r="F67" s="147">
        <v>19</v>
      </c>
      <c r="G67" s="149">
        <v>8</v>
      </c>
      <c r="H67" s="106">
        <f t="shared" si="2"/>
        <v>541</v>
      </c>
      <c r="I67" s="121">
        <f t="shared" si="11"/>
        <v>21.854938953621073</v>
      </c>
      <c r="J67" s="30"/>
    </row>
    <row r="68" spans="1:10" s="30" customFormat="1" ht="17.100000000000001" customHeight="1" x14ac:dyDescent="0.25">
      <c r="A68" s="159" t="s">
        <v>22</v>
      </c>
      <c r="B68" s="102">
        <v>7</v>
      </c>
      <c r="C68" s="103">
        <v>13</v>
      </c>
      <c r="D68" s="104">
        <v>16</v>
      </c>
      <c r="E68" s="103">
        <v>8</v>
      </c>
      <c r="F68" s="104">
        <v>2</v>
      </c>
      <c r="G68" s="105">
        <v>0</v>
      </c>
      <c r="H68" s="131">
        <f t="shared" si="2"/>
        <v>46</v>
      </c>
      <c r="I68" s="150">
        <f t="shared" si="11"/>
        <v>1.8582757705481874</v>
      </c>
    </row>
    <row r="69" spans="1:10" ht="17.100000000000001" customHeight="1" x14ac:dyDescent="0.25">
      <c r="A69" s="159" t="s">
        <v>23</v>
      </c>
      <c r="B69" s="102">
        <v>1</v>
      </c>
      <c r="C69" s="103">
        <v>1</v>
      </c>
      <c r="D69" s="104">
        <v>1</v>
      </c>
      <c r="E69" s="103">
        <v>0</v>
      </c>
      <c r="F69" s="104">
        <v>0</v>
      </c>
      <c r="G69" s="105">
        <v>0</v>
      </c>
      <c r="H69" s="131">
        <f>SUM(B69:G69)</f>
        <v>3</v>
      </c>
      <c r="I69" s="132">
        <f t="shared" si="11"/>
        <v>0.1211918980792296</v>
      </c>
      <c r="J69" s="30"/>
    </row>
    <row r="70" spans="1:10" ht="17.100000000000001" customHeight="1" x14ac:dyDescent="0.25">
      <c r="A70" s="159" t="s">
        <v>39</v>
      </c>
      <c r="B70" s="108">
        <v>0</v>
      </c>
      <c r="C70" s="109">
        <v>1</v>
      </c>
      <c r="D70" s="110">
        <v>2</v>
      </c>
      <c r="E70" s="109">
        <v>0</v>
      </c>
      <c r="F70" s="110">
        <v>0</v>
      </c>
      <c r="G70" s="111">
        <v>0</v>
      </c>
      <c r="H70" s="106">
        <f>SUM(B70:G70)</f>
        <v>3</v>
      </c>
      <c r="I70" s="114">
        <f t="shared" si="11"/>
        <v>0.1211918980792296</v>
      </c>
    </row>
    <row r="71" spans="1:10" ht="17.100000000000001" customHeight="1" x14ac:dyDescent="0.25">
      <c r="A71" s="165" t="s">
        <v>2</v>
      </c>
      <c r="B71" s="145">
        <v>32</v>
      </c>
      <c r="C71" s="148">
        <v>20</v>
      </c>
      <c r="D71" s="147">
        <v>52</v>
      </c>
      <c r="E71" s="148">
        <v>27</v>
      </c>
      <c r="F71" s="147">
        <v>7</v>
      </c>
      <c r="G71" s="149">
        <v>1</v>
      </c>
      <c r="H71" s="106">
        <f>SUM(B71:G71)</f>
        <v>139</v>
      </c>
      <c r="I71" s="121">
        <f t="shared" si="11"/>
        <v>5.6152246110043054</v>
      </c>
      <c r="J71" s="30"/>
    </row>
    <row r="72" spans="1:10" ht="17.100000000000001" customHeight="1" x14ac:dyDescent="0.25">
      <c r="A72" s="32" t="s">
        <v>42</v>
      </c>
      <c r="B72" s="33">
        <f t="shared" ref="B72:G72" si="17">SUM(B73:B77)</f>
        <v>9878</v>
      </c>
      <c r="C72" s="34">
        <f t="shared" si="17"/>
        <v>3040</v>
      </c>
      <c r="D72" s="31">
        <f t="shared" si="17"/>
        <v>5134</v>
      </c>
      <c r="E72" s="34">
        <f t="shared" si="17"/>
        <v>2539</v>
      </c>
      <c r="F72" s="31">
        <f t="shared" si="17"/>
        <v>425</v>
      </c>
      <c r="G72" s="35">
        <f t="shared" si="17"/>
        <v>373</v>
      </c>
      <c r="H72" s="36">
        <f t="shared" ref="H72:H82" si="18">SUM(B72:G72)</f>
        <v>21389</v>
      </c>
      <c r="I72" s="75">
        <f t="shared" si="11"/>
        <v>864.0578360055473</v>
      </c>
      <c r="J72" s="37"/>
    </row>
    <row r="73" spans="1:10" s="37" customFormat="1" ht="17.100000000000001" customHeight="1" x14ac:dyDescent="0.25">
      <c r="A73" s="159" t="s">
        <v>1</v>
      </c>
      <c r="B73" s="145">
        <v>9252</v>
      </c>
      <c r="C73" s="148">
        <v>2177</v>
      </c>
      <c r="D73" s="147">
        <v>3691</v>
      </c>
      <c r="E73" s="148">
        <v>2001</v>
      </c>
      <c r="F73" s="147">
        <v>393</v>
      </c>
      <c r="G73" s="149">
        <v>358</v>
      </c>
      <c r="H73" s="106">
        <f t="shared" si="18"/>
        <v>17872</v>
      </c>
      <c r="I73" s="121">
        <f t="shared" si="11"/>
        <v>721.98053415733057</v>
      </c>
      <c r="J73" s="30"/>
    </row>
    <row r="74" spans="1:10" s="30" customFormat="1" ht="17.100000000000001" customHeight="1" x14ac:dyDescent="0.25">
      <c r="A74" s="159" t="s">
        <v>22</v>
      </c>
      <c r="B74" s="102">
        <v>0</v>
      </c>
      <c r="C74" s="103">
        <v>0</v>
      </c>
      <c r="D74" s="104">
        <v>0</v>
      </c>
      <c r="E74" s="103">
        <v>0</v>
      </c>
      <c r="F74" s="104">
        <v>0</v>
      </c>
      <c r="G74" s="105">
        <v>0</v>
      </c>
      <c r="H74" s="106">
        <f t="shared" si="18"/>
        <v>0</v>
      </c>
      <c r="I74" s="121">
        <f t="shared" si="11"/>
        <v>0</v>
      </c>
    </row>
    <row r="75" spans="1:10" s="30" customFormat="1" ht="17.100000000000001" customHeight="1" x14ac:dyDescent="0.25">
      <c r="A75" s="159" t="s">
        <v>23</v>
      </c>
      <c r="B75" s="145">
        <v>558</v>
      </c>
      <c r="C75" s="148">
        <v>789</v>
      </c>
      <c r="D75" s="147">
        <v>1295</v>
      </c>
      <c r="E75" s="148">
        <v>495</v>
      </c>
      <c r="F75" s="147">
        <v>31</v>
      </c>
      <c r="G75" s="149">
        <v>15</v>
      </c>
      <c r="H75" s="131">
        <f>SUM(B75:G75)</f>
        <v>3183</v>
      </c>
      <c r="I75" s="150">
        <f t="shared" si="11"/>
        <v>128.58460386206264</v>
      </c>
    </row>
    <row r="76" spans="1:10" s="30" customFormat="1" ht="17.100000000000001" customHeight="1" x14ac:dyDescent="0.25">
      <c r="A76" s="159" t="s">
        <v>39</v>
      </c>
      <c r="B76" s="145">
        <v>68</v>
      </c>
      <c r="C76" s="148">
        <v>74</v>
      </c>
      <c r="D76" s="147">
        <v>148</v>
      </c>
      <c r="E76" s="148">
        <v>43</v>
      </c>
      <c r="F76" s="147">
        <v>1</v>
      </c>
      <c r="G76" s="149">
        <v>0</v>
      </c>
      <c r="H76" s="131">
        <f>SUM(B76:G76)</f>
        <v>334</v>
      </c>
      <c r="I76" s="150">
        <f t="shared" si="11"/>
        <v>13.49269798615423</v>
      </c>
    </row>
    <row r="77" spans="1:10" s="37" customFormat="1" ht="17.100000000000001" customHeight="1" x14ac:dyDescent="0.25">
      <c r="A77" s="165" t="s">
        <v>2</v>
      </c>
      <c r="B77" s="145">
        <v>0</v>
      </c>
      <c r="C77" s="148">
        <v>0</v>
      </c>
      <c r="D77" s="147">
        <v>0</v>
      </c>
      <c r="E77" s="148">
        <v>0</v>
      </c>
      <c r="F77" s="147">
        <v>0</v>
      </c>
      <c r="G77" s="149">
        <v>0</v>
      </c>
      <c r="H77" s="106">
        <f t="shared" si="18"/>
        <v>0</v>
      </c>
      <c r="I77" s="121">
        <f t="shared" si="11"/>
        <v>0</v>
      </c>
      <c r="J77" s="30"/>
    </row>
    <row r="78" spans="1:10" s="30" customFormat="1" ht="17.100000000000001" customHeight="1" x14ac:dyDescent="0.25">
      <c r="A78" s="32" t="s">
        <v>41</v>
      </c>
      <c r="B78" s="33">
        <f t="shared" ref="B78:G78" si="19">SUM(B79:B82)</f>
        <v>14</v>
      </c>
      <c r="C78" s="34">
        <f t="shared" si="19"/>
        <v>3</v>
      </c>
      <c r="D78" s="31">
        <f t="shared" si="19"/>
        <v>15</v>
      </c>
      <c r="E78" s="34">
        <f t="shared" si="19"/>
        <v>4</v>
      </c>
      <c r="F78" s="31">
        <f t="shared" si="19"/>
        <v>2</v>
      </c>
      <c r="G78" s="35">
        <f t="shared" si="19"/>
        <v>2</v>
      </c>
      <c r="H78" s="36">
        <f t="shared" si="18"/>
        <v>40</v>
      </c>
      <c r="I78" s="75">
        <f t="shared" si="11"/>
        <v>1.6158919743897282</v>
      </c>
      <c r="J78" s="37"/>
    </row>
    <row r="79" spans="1:10" s="30" customFormat="1" ht="17.100000000000001" customHeight="1" x14ac:dyDescent="0.25">
      <c r="A79" s="159" t="s">
        <v>17</v>
      </c>
      <c r="B79" s="102">
        <v>11</v>
      </c>
      <c r="C79" s="103">
        <v>0</v>
      </c>
      <c r="D79" s="104">
        <v>4</v>
      </c>
      <c r="E79" s="103">
        <v>3</v>
      </c>
      <c r="F79" s="104">
        <v>2</v>
      </c>
      <c r="G79" s="105">
        <v>2</v>
      </c>
      <c r="H79" s="106">
        <f t="shared" si="18"/>
        <v>22</v>
      </c>
      <c r="I79" s="121">
        <f t="shared" ref="I79:I82" si="20">H79/B$83 * 100000</f>
        <v>0.88874058591435057</v>
      </c>
    </row>
    <row r="80" spans="1:10" s="30" customFormat="1" ht="17.100000000000001" customHeight="1" x14ac:dyDescent="0.25">
      <c r="A80" s="160" t="s">
        <v>18</v>
      </c>
      <c r="B80" s="145">
        <v>2</v>
      </c>
      <c r="C80" s="148">
        <v>2</v>
      </c>
      <c r="D80" s="147">
        <v>7</v>
      </c>
      <c r="E80" s="148">
        <v>1</v>
      </c>
      <c r="F80" s="147">
        <v>0</v>
      </c>
      <c r="G80" s="149">
        <v>0</v>
      </c>
      <c r="H80" s="106">
        <f t="shared" si="18"/>
        <v>12</v>
      </c>
      <c r="I80" s="122">
        <f t="shared" si="20"/>
        <v>0.48476759231691841</v>
      </c>
    </row>
    <row r="81" spans="1:10" s="30" customFormat="1" ht="17.100000000000001" customHeight="1" x14ac:dyDescent="0.25">
      <c r="A81" s="159" t="s">
        <v>19</v>
      </c>
      <c r="B81" s="102">
        <v>0</v>
      </c>
      <c r="C81" s="103">
        <v>1</v>
      </c>
      <c r="D81" s="104">
        <v>4</v>
      </c>
      <c r="E81" s="103">
        <v>0</v>
      </c>
      <c r="F81" s="104">
        <v>0</v>
      </c>
      <c r="G81" s="105">
        <v>0</v>
      </c>
      <c r="H81" s="106">
        <f t="shared" si="18"/>
        <v>5</v>
      </c>
      <c r="I81" s="122">
        <f t="shared" si="20"/>
        <v>0.20198649679871603</v>
      </c>
    </row>
    <row r="82" spans="1:10" s="30" customFormat="1" ht="16.5" customHeight="1" x14ac:dyDescent="0.25">
      <c r="A82" s="164" t="s">
        <v>20</v>
      </c>
      <c r="B82" s="102">
        <v>1</v>
      </c>
      <c r="C82" s="103">
        <v>0</v>
      </c>
      <c r="D82" s="104">
        <v>0</v>
      </c>
      <c r="E82" s="103">
        <v>0</v>
      </c>
      <c r="F82" s="147">
        <v>0</v>
      </c>
      <c r="G82" s="149">
        <v>0</v>
      </c>
      <c r="H82" s="106">
        <f t="shared" si="18"/>
        <v>1</v>
      </c>
      <c r="I82" s="122">
        <f t="shared" si="20"/>
        <v>4.0397299359743205E-2</v>
      </c>
      <c r="J82" s="1"/>
    </row>
    <row r="83" spans="1:10" s="30" customFormat="1" ht="27.95" customHeight="1" x14ac:dyDescent="0.2">
      <c r="A83" s="69" t="s">
        <v>62</v>
      </c>
      <c r="B83" s="207">
        <v>2475413</v>
      </c>
      <c r="C83" s="213"/>
      <c r="D83" s="68"/>
      <c r="E83" s="68"/>
      <c r="F83" s="68"/>
      <c r="G83" s="68"/>
      <c r="H83" s="68"/>
      <c r="I83" s="68"/>
      <c r="J83" s="1"/>
    </row>
    <row r="84" spans="1:10" s="30" customFormat="1" ht="27.95" customHeight="1" x14ac:dyDescent="0.2">
      <c r="A84" s="69" t="s">
        <v>13</v>
      </c>
      <c r="B84" s="70"/>
      <c r="C84" s="71"/>
      <c r="D84" s="72"/>
      <c r="E84" s="70"/>
      <c r="F84" s="71"/>
      <c r="G84" s="73"/>
      <c r="H84" s="69"/>
      <c r="I84" s="69"/>
      <c r="J84" s="1"/>
    </row>
    <row r="85" spans="1:10" s="30" customFormat="1" ht="27.95" customHeight="1" x14ac:dyDescent="0.2">
      <c r="A85" s="208" t="s">
        <v>14</v>
      </c>
      <c r="B85" s="209"/>
      <c r="C85" s="209"/>
      <c r="D85" s="209"/>
      <c r="E85" s="209"/>
      <c r="F85" s="209"/>
      <c r="G85" s="209"/>
      <c r="H85" s="209"/>
      <c r="I85" s="209"/>
      <c r="J85" s="1"/>
    </row>
    <row r="86" spans="1:10" s="30" customFormat="1" ht="16.5" customHeight="1" x14ac:dyDescent="0.2">
      <c r="A86" s="208" t="s">
        <v>35</v>
      </c>
      <c r="B86" s="209"/>
      <c r="C86" s="209"/>
      <c r="D86" s="209"/>
      <c r="E86" s="209"/>
      <c r="F86" s="209"/>
      <c r="G86" s="209"/>
      <c r="H86" s="209"/>
      <c r="I86" s="209"/>
      <c r="J86" s="1"/>
    </row>
    <row r="87" spans="1:10" s="30" customFormat="1" ht="27.95" customHeight="1" x14ac:dyDescent="0.2">
      <c r="A87" s="74" t="s">
        <v>81</v>
      </c>
      <c r="B87" s="70"/>
      <c r="C87" s="71"/>
      <c r="D87" s="72"/>
      <c r="E87" s="70"/>
      <c r="F87" s="71"/>
      <c r="G87" s="73"/>
      <c r="H87" s="69"/>
      <c r="I87" s="69"/>
      <c r="J87" s="1"/>
    </row>
    <row r="88" spans="1:10" s="30" customFormat="1" x14ac:dyDescent="0.2">
      <c r="A88" s="1"/>
      <c r="B88" s="11"/>
      <c r="C88" s="2"/>
      <c r="D88" s="22"/>
      <c r="E88" s="11"/>
      <c r="F88" s="2"/>
      <c r="G88" s="1"/>
      <c r="H88" s="1"/>
      <c r="I88" s="1"/>
      <c r="J88" s="1"/>
    </row>
    <row r="89" spans="1:10" s="30" customFormat="1" x14ac:dyDescent="0.2">
      <c r="A89" s="1"/>
      <c r="B89" s="63"/>
      <c r="C89" s="63"/>
      <c r="D89" s="63"/>
      <c r="E89" s="64"/>
      <c r="F89" s="63"/>
      <c r="G89" s="63"/>
      <c r="H89" s="63"/>
      <c r="I89" s="1"/>
      <c r="J89" s="21"/>
    </row>
    <row r="90" spans="1:10" x14ac:dyDescent="0.2">
      <c r="B90" s="64"/>
      <c r="C90" s="63"/>
      <c r="D90" s="63"/>
      <c r="E90" s="64"/>
      <c r="F90" s="63"/>
      <c r="G90" s="63"/>
      <c r="H90" s="63"/>
      <c r="J90" s="9"/>
    </row>
    <row r="91" spans="1:10" s="37" customFormat="1" ht="21" customHeight="1" x14ac:dyDescent="0.25">
      <c r="A91" s="1"/>
      <c r="B91" s="64"/>
      <c r="C91" s="63"/>
      <c r="D91" s="67"/>
      <c r="E91" s="64"/>
      <c r="F91" s="63"/>
      <c r="G91" s="67"/>
      <c r="H91" s="63"/>
      <c r="I91" s="1"/>
      <c r="J91" s="9"/>
    </row>
    <row r="92" spans="1:10" s="30" customFormat="1" x14ac:dyDescent="0.2">
      <c r="A92" s="1"/>
      <c r="B92" s="64"/>
      <c r="C92" s="63"/>
      <c r="D92" s="67"/>
      <c r="E92" s="64"/>
      <c r="F92" s="63"/>
      <c r="G92" s="67"/>
      <c r="H92" s="63"/>
      <c r="I92" s="1"/>
      <c r="J92" s="9"/>
    </row>
    <row r="93" spans="1:10" s="30" customFormat="1" x14ac:dyDescent="0.2">
      <c r="A93" s="1"/>
      <c r="B93" s="64"/>
      <c r="C93" s="63"/>
      <c r="D93" s="67"/>
      <c r="E93" s="64"/>
      <c r="F93" s="63"/>
      <c r="G93" s="67"/>
      <c r="H93" s="63"/>
      <c r="I93" s="1"/>
      <c r="J93" s="9"/>
    </row>
    <row r="94" spans="1:10" s="30" customFormat="1" ht="15" customHeight="1" x14ac:dyDescent="0.2">
      <c r="A94" s="1"/>
      <c r="B94" s="66"/>
      <c r="C94" s="19"/>
      <c r="D94" s="65"/>
      <c r="E94" s="66"/>
      <c r="F94" s="19"/>
      <c r="G94" s="19"/>
      <c r="H94" s="19"/>
      <c r="I94" s="1"/>
      <c r="J94" s="1"/>
    </row>
    <row r="95" spans="1:10" x14ac:dyDescent="0.2">
      <c r="B95" s="11"/>
      <c r="C95" s="12"/>
      <c r="D95" s="23"/>
      <c r="E95" s="11"/>
      <c r="F95" s="12"/>
      <c r="G95" s="13"/>
    </row>
    <row r="96" spans="1:10" s="37" customFormat="1" ht="21" customHeight="1" x14ac:dyDescent="0.25">
      <c r="A96" s="1"/>
      <c r="B96" s="11"/>
      <c r="C96" s="12"/>
      <c r="D96" s="23"/>
      <c r="E96" s="11"/>
      <c r="F96" s="12"/>
      <c r="G96" s="13"/>
      <c r="H96" s="1"/>
      <c r="I96" s="1"/>
      <c r="J96" s="1"/>
    </row>
    <row r="97" spans="1:10" s="30" customFormat="1" x14ac:dyDescent="0.2">
      <c r="A97" s="1"/>
      <c r="B97" s="11"/>
      <c r="C97" s="12"/>
      <c r="D97" s="23"/>
      <c r="E97" s="11"/>
      <c r="F97" s="12"/>
      <c r="G97" s="13"/>
      <c r="H97" s="1"/>
      <c r="I97" s="1"/>
      <c r="J97" s="1"/>
    </row>
    <row r="98" spans="1:10" s="30" customFormat="1" x14ac:dyDescent="0.2">
      <c r="A98" s="1"/>
      <c r="B98" s="11"/>
      <c r="C98" s="12"/>
      <c r="D98" s="23"/>
      <c r="E98" s="11"/>
      <c r="F98" s="12"/>
      <c r="G98" s="13"/>
      <c r="H98" s="1"/>
      <c r="I98" s="1"/>
      <c r="J98" s="1"/>
    </row>
    <row r="99" spans="1:10" s="30" customFormat="1" x14ac:dyDescent="0.2">
      <c r="A99" s="1"/>
      <c r="B99" s="11"/>
      <c r="C99" s="12"/>
      <c r="D99" s="23"/>
      <c r="E99" s="11"/>
      <c r="F99" s="12"/>
      <c r="G99" s="13"/>
      <c r="H99" s="1"/>
      <c r="I99" s="1"/>
      <c r="J99" s="1"/>
    </row>
    <row r="100" spans="1:10" s="30" customFormat="1" x14ac:dyDescent="0.2">
      <c r="A100" s="1"/>
      <c r="B100" s="11"/>
      <c r="C100" s="1"/>
      <c r="D100" s="22"/>
      <c r="E100" s="11"/>
      <c r="F100" s="1"/>
      <c r="G100" s="1"/>
      <c r="H100" s="1"/>
      <c r="I100" s="1"/>
      <c r="J100" s="1"/>
    </row>
    <row r="101" spans="1:10" s="30" customFormat="1" x14ac:dyDescent="0.2">
      <c r="A101" s="1"/>
      <c r="B101" s="11"/>
      <c r="C101" s="12"/>
      <c r="D101" s="23"/>
      <c r="E101" s="11"/>
      <c r="F101" s="12"/>
      <c r="G101" s="13"/>
      <c r="H101" s="1"/>
      <c r="I101" s="1"/>
      <c r="J101" s="1"/>
    </row>
    <row r="102" spans="1:10" s="37" customFormat="1" ht="21" customHeight="1" x14ac:dyDescent="0.25">
      <c r="A102" s="1"/>
      <c r="B102" s="11"/>
      <c r="C102" s="12"/>
      <c r="D102" s="23"/>
      <c r="E102" s="11"/>
      <c r="F102" s="12"/>
      <c r="G102" s="13"/>
      <c r="H102" s="1"/>
      <c r="I102" s="1"/>
      <c r="J102" s="1"/>
    </row>
    <row r="103" spans="1:10" s="37" customFormat="1" ht="21" customHeight="1" x14ac:dyDescent="0.25">
      <c r="A103" s="1"/>
      <c r="B103" s="11"/>
      <c r="C103" s="12"/>
      <c r="D103" s="23"/>
      <c r="E103" s="11"/>
      <c r="F103" s="12"/>
      <c r="G103" s="13"/>
      <c r="H103" s="1"/>
      <c r="I103" s="1"/>
      <c r="J103" s="1"/>
    </row>
    <row r="104" spans="1:10" s="37" customFormat="1" ht="21" customHeight="1" x14ac:dyDescent="0.25">
      <c r="A104" s="1"/>
      <c r="B104" s="11"/>
      <c r="C104" s="12"/>
      <c r="D104" s="23"/>
      <c r="E104" s="11"/>
      <c r="F104" s="12"/>
      <c r="G104" s="13"/>
      <c r="H104" s="1"/>
      <c r="I104" s="1"/>
      <c r="J104" s="1"/>
    </row>
    <row r="105" spans="1:10" s="37" customFormat="1" ht="21" customHeight="1" x14ac:dyDescent="0.25">
      <c r="A105" s="1"/>
      <c r="B105" s="11"/>
      <c r="C105" s="12"/>
      <c r="D105" s="23"/>
      <c r="E105" s="11"/>
      <c r="F105" s="12"/>
      <c r="G105" s="13"/>
      <c r="H105" s="1"/>
      <c r="I105" s="1"/>
      <c r="J105" s="1"/>
    </row>
    <row r="106" spans="1:10" s="37" customFormat="1" ht="21" customHeight="1" x14ac:dyDescent="0.25">
      <c r="A106" s="1"/>
      <c r="B106" s="11"/>
      <c r="C106" s="12"/>
      <c r="D106" s="22"/>
      <c r="E106" s="11"/>
      <c r="F106" s="12"/>
      <c r="G106" s="1"/>
      <c r="H106" s="1"/>
      <c r="I106" s="1"/>
      <c r="J106" s="1"/>
    </row>
    <row r="107" spans="1:10" s="37" customFormat="1" ht="21" customHeight="1" x14ac:dyDescent="0.25">
      <c r="A107" s="1"/>
      <c r="B107" s="3"/>
      <c r="C107" s="12"/>
      <c r="D107" s="22"/>
      <c r="E107" s="3"/>
      <c r="F107" s="12"/>
      <c r="G107" s="1"/>
      <c r="H107" s="1"/>
      <c r="I107" s="1"/>
      <c r="J107" s="1"/>
    </row>
    <row r="108" spans="1:10" s="37" customFormat="1" ht="21" customHeight="1" x14ac:dyDescent="0.25">
      <c r="A108" s="1"/>
      <c r="B108" s="3"/>
      <c r="C108" s="12"/>
      <c r="D108" s="22"/>
      <c r="E108" s="3"/>
      <c r="F108" s="12"/>
      <c r="G108" s="1"/>
      <c r="H108" s="1"/>
      <c r="I108" s="1"/>
      <c r="J108" s="1"/>
    </row>
    <row r="109" spans="1:10" ht="33.75" customHeight="1" x14ac:dyDescent="0.2">
      <c r="B109" s="3"/>
      <c r="E109" s="3"/>
    </row>
    <row r="110" spans="1:10" ht="22.5" customHeight="1" x14ac:dyDescent="0.2">
      <c r="B110" s="3"/>
      <c r="E110" s="3"/>
    </row>
    <row r="111" spans="1:10" ht="27.75" customHeight="1" x14ac:dyDescent="0.2">
      <c r="B111" s="14"/>
      <c r="C111" s="5"/>
      <c r="D111" s="24"/>
      <c r="E111" s="14"/>
      <c r="F111" s="5"/>
      <c r="G111" s="5"/>
    </row>
    <row r="112" spans="1:10" ht="16.5" customHeight="1" x14ac:dyDescent="0.2">
      <c r="B112" s="3"/>
      <c r="D112" s="24"/>
      <c r="E112" s="3"/>
      <c r="G112" s="5"/>
    </row>
    <row r="113" spans="1:10" ht="24" customHeight="1" x14ac:dyDescent="0.2">
      <c r="B113" s="3"/>
      <c r="D113" s="24"/>
      <c r="E113" s="3"/>
      <c r="G113" s="5"/>
    </row>
    <row r="114" spans="1:10" ht="15.75" x14ac:dyDescent="0.25">
      <c r="A114" s="15"/>
      <c r="B114" s="3"/>
      <c r="E114" s="3"/>
    </row>
    <row r="115" spans="1:10" ht="15.75" x14ac:dyDescent="0.25">
      <c r="A115" s="15"/>
      <c r="B115" s="3"/>
      <c r="E115" s="3"/>
      <c r="H115" s="3"/>
    </row>
    <row r="116" spans="1:10" ht="15.75" x14ac:dyDescent="0.25">
      <c r="A116" s="15"/>
      <c r="B116" s="3"/>
      <c r="C116" s="12"/>
      <c r="D116" s="23"/>
      <c r="E116" s="3"/>
      <c r="F116" s="12"/>
      <c r="G116" s="13"/>
      <c r="I116" s="13"/>
      <c r="J116" s="7"/>
    </row>
    <row r="117" spans="1:10" x14ac:dyDescent="0.2">
      <c r="B117" s="3"/>
      <c r="C117" s="12"/>
      <c r="D117" s="23"/>
      <c r="E117" s="3"/>
      <c r="F117" s="12"/>
      <c r="G117" s="13"/>
    </row>
    <row r="118" spans="1:10" x14ac:dyDescent="0.2">
      <c r="B118" s="3"/>
      <c r="C118" s="12"/>
      <c r="D118" s="23"/>
      <c r="E118" s="3"/>
      <c r="F118" s="12"/>
      <c r="G118" s="13"/>
    </row>
    <row r="119" spans="1:10" x14ac:dyDescent="0.2">
      <c r="B119" s="3"/>
      <c r="C119" s="12"/>
      <c r="D119" s="23"/>
      <c r="E119" s="3"/>
      <c r="F119" s="12"/>
      <c r="G119" s="13"/>
    </row>
    <row r="120" spans="1:10" x14ac:dyDescent="0.2">
      <c r="B120" s="3"/>
      <c r="C120" s="12"/>
      <c r="D120" s="23"/>
      <c r="E120" s="3"/>
      <c r="F120" s="12"/>
      <c r="G120" s="13"/>
    </row>
    <row r="121" spans="1:10" ht="15.75" x14ac:dyDescent="0.25">
      <c r="A121" s="6"/>
      <c r="B121" s="3"/>
      <c r="C121" s="12"/>
      <c r="D121" s="23"/>
      <c r="E121" s="3"/>
      <c r="F121" s="12"/>
      <c r="G121" s="13"/>
    </row>
    <row r="122" spans="1:10" x14ac:dyDescent="0.2">
      <c r="B122" s="3"/>
      <c r="E122" s="3"/>
    </row>
    <row r="123" spans="1:10" ht="15.75" x14ac:dyDescent="0.25">
      <c r="A123" s="6"/>
      <c r="B123" s="3"/>
      <c r="E123" s="3"/>
    </row>
    <row r="124" spans="1:10" ht="15.75" x14ac:dyDescent="0.2">
      <c r="A124" s="4"/>
      <c r="B124" s="3"/>
      <c r="E124" s="3"/>
    </row>
    <row r="125" spans="1:10" x14ac:dyDescent="0.2">
      <c r="B125" s="3"/>
      <c r="E125" s="3"/>
    </row>
    <row r="126" spans="1:10" ht="15.75" x14ac:dyDescent="0.25">
      <c r="A126" s="6"/>
      <c r="B126" s="3"/>
      <c r="E126" s="3"/>
    </row>
    <row r="127" spans="1:10" x14ac:dyDescent="0.2"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23"/>
      <c r="E141" s="3"/>
      <c r="F141" s="12"/>
      <c r="G141" s="13"/>
    </row>
    <row r="142" spans="1:7" x14ac:dyDescent="0.2">
      <c r="B142" s="3"/>
      <c r="C142" s="12"/>
      <c r="D142" s="23"/>
      <c r="E142" s="3"/>
      <c r="F142" s="12"/>
      <c r="G142" s="13"/>
    </row>
    <row r="143" spans="1:7" x14ac:dyDescent="0.2">
      <c r="B143" s="3"/>
      <c r="C143" s="12"/>
      <c r="D143" s="23"/>
      <c r="E143" s="3"/>
      <c r="F143" s="12"/>
      <c r="G143" s="13"/>
    </row>
    <row r="144" spans="1:7" x14ac:dyDescent="0.2">
      <c r="B144" s="3"/>
      <c r="C144" s="12"/>
      <c r="D144" s="23"/>
      <c r="E144" s="3"/>
      <c r="F144" s="12"/>
      <c r="G144" s="13"/>
    </row>
    <row r="145" spans="1:7" ht="15.75" x14ac:dyDescent="0.25">
      <c r="A145" s="15"/>
      <c r="B145" s="3"/>
      <c r="C145" s="12"/>
      <c r="D145" s="23"/>
      <c r="E145" s="3"/>
      <c r="F145" s="12"/>
      <c r="G145" s="13"/>
    </row>
    <row r="146" spans="1:7" ht="15.75" x14ac:dyDescent="0.25">
      <c r="A146" s="6"/>
      <c r="B146" s="3"/>
      <c r="C146" s="12"/>
      <c r="D146" s="23"/>
      <c r="E146" s="3"/>
      <c r="F146" s="12"/>
      <c r="G146" s="13"/>
    </row>
    <row r="147" spans="1:7" ht="15.75" x14ac:dyDescent="0.25">
      <c r="A147" s="8"/>
      <c r="B147" s="3"/>
      <c r="C147" s="12"/>
      <c r="D147" s="23"/>
      <c r="E147" s="3"/>
      <c r="F147" s="12"/>
      <c r="G147" s="13"/>
    </row>
    <row r="148" spans="1:7" x14ac:dyDescent="0.2">
      <c r="B148" s="3"/>
      <c r="C148" s="12"/>
      <c r="D148" s="23"/>
      <c r="E148" s="3"/>
      <c r="F148" s="12"/>
      <c r="G148" s="13"/>
    </row>
    <row r="149" spans="1:7" x14ac:dyDescent="0.2">
      <c r="A149" s="10"/>
      <c r="B149" s="3"/>
      <c r="C149" s="12"/>
      <c r="D149" s="23"/>
      <c r="E149" s="3"/>
      <c r="F149" s="12"/>
      <c r="G149" s="13"/>
    </row>
    <row r="150" spans="1:7" x14ac:dyDescent="0.2">
      <c r="B150" s="3"/>
      <c r="C150" s="12"/>
      <c r="D150" s="23"/>
      <c r="E150" s="3"/>
      <c r="F150" s="12"/>
      <c r="G150" s="13"/>
    </row>
    <row r="151" spans="1:7" x14ac:dyDescent="0.2">
      <c r="A151" s="10"/>
      <c r="B151" s="3"/>
      <c r="C151" s="12"/>
      <c r="D151" s="23"/>
      <c r="E151" s="3"/>
      <c r="F151" s="12"/>
      <c r="G151" s="13"/>
    </row>
    <row r="152" spans="1:7" x14ac:dyDescent="0.2">
      <c r="B152" s="3"/>
      <c r="C152" s="12"/>
      <c r="D152" s="23"/>
      <c r="E152" s="3"/>
      <c r="F152" s="12"/>
      <c r="G152" s="13"/>
    </row>
    <row r="153" spans="1:7" ht="15.75" x14ac:dyDescent="0.25">
      <c r="A153" s="15"/>
      <c r="C153" s="12"/>
      <c r="D153" s="23"/>
      <c r="F153" s="12"/>
      <c r="G153" s="13"/>
    </row>
    <row r="154" spans="1:7" ht="15.75" x14ac:dyDescent="0.25">
      <c r="A154" s="15"/>
      <c r="C154" s="12"/>
      <c r="D154" s="23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23"/>
      <c r="F158" s="12"/>
      <c r="G158" s="13"/>
    </row>
    <row r="159" spans="1:7" x14ac:dyDescent="0.2">
      <c r="B159" s="10"/>
      <c r="C159" s="16"/>
      <c r="D159" s="25"/>
      <c r="E159" s="10"/>
      <c r="F159" s="16"/>
      <c r="G159" s="17"/>
    </row>
    <row r="160" spans="1:7" ht="15.75" x14ac:dyDescent="0.25">
      <c r="A160" s="6"/>
      <c r="C160" s="12"/>
      <c r="D160" s="23"/>
      <c r="F160" s="12"/>
      <c r="G160" s="13"/>
    </row>
    <row r="161" spans="1:7" x14ac:dyDescent="0.2">
      <c r="B161" s="10"/>
      <c r="C161" s="16"/>
      <c r="D161" s="25"/>
      <c r="E161" s="10"/>
      <c r="F161" s="16"/>
      <c r="G161" s="17"/>
    </row>
    <row r="162" spans="1:7" ht="15.75" x14ac:dyDescent="0.25">
      <c r="A162" s="6"/>
      <c r="C162" s="12"/>
      <c r="D162" s="23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24"/>
      <c r="E174" s="5"/>
      <c r="F174" s="5"/>
      <c r="G174" s="5"/>
    </row>
    <row r="175" spans="1:7" x14ac:dyDescent="0.2">
      <c r="D175" s="24"/>
      <c r="G175" s="5"/>
    </row>
    <row r="177" spans="1:7" x14ac:dyDescent="0.2">
      <c r="C177" s="12"/>
      <c r="D177" s="23"/>
      <c r="F177" s="12"/>
      <c r="G177" s="13"/>
    </row>
    <row r="178" spans="1:7" x14ac:dyDescent="0.2">
      <c r="C178" s="12"/>
      <c r="D178" s="23"/>
      <c r="F178" s="12"/>
      <c r="G178" s="13"/>
    </row>
    <row r="179" spans="1:7" x14ac:dyDescent="0.2"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x14ac:dyDescent="0.2">
      <c r="C181" s="12"/>
      <c r="D181" s="23"/>
      <c r="F181" s="12"/>
      <c r="G181" s="13"/>
    </row>
    <row r="182" spans="1:7" x14ac:dyDescent="0.2">
      <c r="C182" s="12"/>
      <c r="D182" s="23"/>
      <c r="F182" s="12"/>
      <c r="G182" s="13"/>
    </row>
    <row r="183" spans="1:7" x14ac:dyDescent="0.2">
      <c r="B183" s="10"/>
      <c r="C183" s="16"/>
      <c r="D183" s="25"/>
      <c r="E183" s="10"/>
      <c r="F183" s="16"/>
      <c r="G183" s="17"/>
    </row>
    <row r="184" spans="1:7" ht="15.75" x14ac:dyDescent="0.25">
      <c r="A184" s="15"/>
      <c r="C184" s="12"/>
      <c r="D184" s="23"/>
      <c r="F184" s="12"/>
      <c r="G184" s="13"/>
    </row>
    <row r="185" spans="1:7" ht="15.75" x14ac:dyDescent="0.25">
      <c r="A185" s="6"/>
      <c r="C185" s="12"/>
      <c r="D185" s="23"/>
      <c r="F185" s="12"/>
      <c r="G185" s="13"/>
    </row>
    <row r="186" spans="1:7" ht="15.75" x14ac:dyDescent="0.25">
      <c r="A186" s="8"/>
      <c r="C186" s="12"/>
      <c r="D186" s="23"/>
      <c r="F186" s="12"/>
      <c r="G186" s="13"/>
    </row>
    <row r="187" spans="1:7" x14ac:dyDescent="0.2">
      <c r="C187" s="12"/>
      <c r="D187" s="23"/>
      <c r="F187" s="12"/>
      <c r="G187" s="13"/>
    </row>
    <row r="188" spans="1:7" x14ac:dyDescent="0.2">
      <c r="A188" s="10"/>
      <c r="C188" s="12"/>
      <c r="D188" s="23"/>
      <c r="F188" s="12"/>
      <c r="G188" s="13"/>
    </row>
    <row r="189" spans="1:7" x14ac:dyDescent="0.2">
      <c r="C189" s="12"/>
      <c r="D189" s="23"/>
      <c r="F189" s="12"/>
      <c r="G189" s="13"/>
    </row>
    <row r="190" spans="1:7" x14ac:dyDescent="0.2">
      <c r="A190" s="10"/>
      <c r="C190" s="12"/>
      <c r="D190" s="23"/>
      <c r="F190" s="12"/>
      <c r="G190" s="13"/>
    </row>
    <row r="191" spans="1:7" x14ac:dyDescent="0.2">
      <c r="C191" s="12"/>
      <c r="D191" s="23"/>
      <c r="F191" s="12"/>
      <c r="G191" s="13"/>
    </row>
    <row r="192" spans="1:7" ht="15.75" x14ac:dyDescent="0.25">
      <c r="A192" s="15"/>
      <c r="C192" s="12"/>
      <c r="D192" s="23"/>
      <c r="F192" s="12"/>
      <c r="G192" s="13"/>
    </row>
    <row r="193" spans="1:7" ht="15.75" x14ac:dyDescent="0.25">
      <c r="A193" s="15"/>
      <c r="C193" s="12"/>
      <c r="D193" s="23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23"/>
      <c r="F197" s="12"/>
      <c r="G197" s="13"/>
    </row>
    <row r="198" spans="1:7" x14ac:dyDescent="0.2">
      <c r="B198" s="10"/>
      <c r="C198" s="16"/>
      <c r="D198" s="25"/>
      <c r="E198" s="10"/>
      <c r="F198" s="16"/>
      <c r="G198" s="17"/>
    </row>
    <row r="199" spans="1:7" ht="15.75" x14ac:dyDescent="0.25">
      <c r="A199" s="6"/>
      <c r="C199" s="12"/>
      <c r="D199" s="23"/>
      <c r="F199" s="12"/>
      <c r="G199" s="13"/>
    </row>
    <row r="200" spans="1:7" x14ac:dyDescent="0.2">
      <c r="B200" s="10"/>
      <c r="C200" s="16"/>
      <c r="D200" s="25"/>
      <c r="E200" s="10"/>
      <c r="F200" s="16"/>
      <c r="G200" s="17"/>
    </row>
    <row r="201" spans="1:7" ht="15.75" x14ac:dyDescent="0.25">
      <c r="A201" s="6"/>
      <c r="C201" s="12"/>
      <c r="D201" s="23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24"/>
      <c r="E213" s="5"/>
      <c r="F213" s="5"/>
      <c r="G213" s="5"/>
    </row>
    <row r="214" spans="1:7" x14ac:dyDescent="0.2">
      <c r="D214" s="24"/>
      <c r="G214" s="5"/>
    </row>
    <row r="216" spans="1:7" x14ac:dyDescent="0.2">
      <c r="C216" s="12"/>
      <c r="D216" s="23"/>
      <c r="F216" s="12"/>
      <c r="G216" s="13"/>
    </row>
    <row r="217" spans="1:7" x14ac:dyDescent="0.2">
      <c r="C217" s="12"/>
      <c r="D217" s="23"/>
      <c r="F217" s="12"/>
      <c r="G217" s="13"/>
    </row>
    <row r="218" spans="1:7" x14ac:dyDescent="0.2"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x14ac:dyDescent="0.2">
      <c r="C220" s="12"/>
      <c r="D220" s="23"/>
      <c r="F220" s="12"/>
      <c r="G220" s="13"/>
    </row>
    <row r="221" spans="1:7" x14ac:dyDescent="0.2">
      <c r="C221" s="12"/>
      <c r="D221" s="23"/>
      <c r="F221" s="12"/>
      <c r="G221" s="13"/>
    </row>
    <row r="222" spans="1:7" x14ac:dyDescent="0.2">
      <c r="B222" s="10"/>
      <c r="C222" s="16"/>
      <c r="D222" s="25"/>
      <c r="E222" s="10"/>
      <c r="F222" s="16"/>
      <c r="G222" s="17"/>
    </row>
    <row r="223" spans="1:7" ht="15.75" x14ac:dyDescent="0.25">
      <c r="A223" s="15"/>
      <c r="C223" s="12"/>
      <c r="D223" s="23"/>
      <c r="F223" s="12"/>
      <c r="G223" s="13"/>
    </row>
    <row r="224" spans="1:7" ht="15.75" x14ac:dyDescent="0.25">
      <c r="A224" s="6"/>
      <c r="C224" s="12"/>
      <c r="D224" s="23"/>
      <c r="F224" s="12"/>
      <c r="G224" s="13"/>
    </row>
    <row r="225" spans="1:7" ht="15.75" x14ac:dyDescent="0.25">
      <c r="A225" s="8"/>
      <c r="C225" s="12"/>
      <c r="D225" s="23"/>
      <c r="F225" s="12"/>
      <c r="G225" s="13"/>
    </row>
    <row r="226" spans="1:7" x14ac:dyDescent="0.2">
      <c r="C226" s="12"/>
      <c r="D226" s="23"/>
      <c r="F226" s="12"/>
      <c r="G226" s="13"/>
    </row>
    <row r="227" spans="1:7" x14ac:dyDescent="0.2">
      <c r="A227" s="10"/>
      <c r="C227" s="12"/>
      <c r="D227" s="23"/>
      <c r="F227" s="12"/>
      <c r="G227" s="13"/>
    </row>
    <row r="228" spans="1:7" x14ac:dyDescent="0.2">
      <c r="C228" s="12"/>
      <c r="D228" s="23"/>
      <c r="F228" s="12"/>
      <c r="G228" s="13"/>
    </row>
    <row r="229" spans="1:7" x14ac:dyDescent="0.2">
      <c r="A229" s="10"/>
      <c r="C229" s="12"/>
      <c r="D229" s="23"/>
      <c r="F229" s="12"/>
      <c r="G229" s="13"/>
    </row>
    <row r="230" spans="1:7" x14ac:dyDescent="0.2">
      <c r="C230" s="12"/>
      <c r="D230" s="23"/>
      <c r="F230" s="12"/>
      <c r="G230" s="13"/>
    </row>
    <row r="231" spans="1:7" ht="15.75" x14ac:dyDescent="0.25">
      <c r="A231" s="15"/>
      <c r="C231" s="12"/>
      <c r="D231" s="23"/>
      <c r="F231" s="12"/>
      <c r="G231" s="13"/>
    </row>
    <row r="232" spans="1:7" ht="15.75" x14ac:dyDescent="0.25">
      <c r="A232" s="15"/>
      <c r="C232" s="12"/>
      <c r="D232" s="23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23"/>
      <c r="F236" s="12"/>
      <c r="G236" s="13"/>
    </row>
    <row r="237" spans="1:7" x14ac:dyDescent="0.2">
      <c r="B237" s="10"/>
      <c r="C237" s="16"/>
      <c r="D237" s="25"/>
      <c r="E237" s="10"/>
      <c r="F237" s="16"/>
      <c r="G237" s="17"/>
    </row>
    <row r="238" spans="1:7" ht="15.75" x14ac:dyDescent="0.25">
      <c r="A238" s="6"/>
      <c r="C238" s="12"/>
      <c r="D238" s="23"/>
      <c r="F238" s="12"/>
      <c r="G238" s="13"/>
    </row>
    <row r="239" spans="1:7" x14ac:dyDescent="0.2">
      <c r="B239" s="10"/>
      <c r="C239" s="16"/>
      <c r="D239" s="25"/>
      <c r="E239" s="10"/>
      <c r="F239" s="16"/>
      <c r="G239" s="17"/>
    </row>
    <row r="240" spans="1:7" ht="15.75" x14ac:dyDescent="0.25">
      <c r="A240" s="6"/>
      <c r="C240" s="12"/>
      <c r="D240" s="23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24"/>
      <c r="E252" s="5"/>
      <c r="F252" s="5"/>
      <c r="G252" s="5"/>
    </row>
    <row r="253" spans="1:7" x14ac:dyDescent="0.2">
      <c r="D253" s="24"/>
      <c r="G253" s="5"/>
    </row>
    <row r="255" spans="1:7" x14ac:dyDescent="0.2">
      <c r="C255" s="12"/>
      <c r="D255" s="23"/>
      <c r="F255" s="12"/>
      <c r="G255" s="13"/>
    </row>
    <row r="256" spans="1:7" x14ac:dyDescent="0.2">
      <c r="C256" s="12"/>
      <c r="D256" s="23"/>
      <c r="F256" s="12"/>
      <c r="G256" s="13"/>
    </row>
    <row r="257" spans="1:7" x14ac:dyDescent="0.2"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x14ac:dyDescent="0.2">
      <c r="C259" s="12"/>
      <c r="D259" s="23"/>
      <c r="F259" s="12"/>
      <c r="G259" s="13"/>
    </row>
    <row r="260" spans="1:7" x14ac:dyDescent="0.2">
      <c r="C260" s="12"/>
      <c r="D260" s="23"/>
      <c r="F260" s="12"/>
      <c r="G260" s="13"/>
    </row>
    <row r="261" spans="1:7" x14ac:dyDescent="0.2">
      <c r="B261" s="10"/>
      <c r="C261" s="16"/>
      <c r="D261" s="25"/>
      <c r="E261" s="10"/>
      <c r="F261" s="16"/>
      <c r="G261" s="17"/>
    </row>
    <row r="262" spans="1:7" ht="15.75" x14ac:dyDescent="0.25">
      <c r="A262" s="15"/>
      <c r="C262" s="12"/>
      <c r="D262" s="23"/>
      <c r="F262" s="12"/>
      <c r="G262" s="13"/>
    </row>
    <row r="263" spans="1:7" ht="15.75" x14ac:dyDescent="0.25">
      <c r="A263" s="6"/>
      <c r="C263" s="12"/>
      <c r="D263" s="23"/>
      <c r="F263" s="12"/>
      <c r="G263" s="13"/>
    </row>
    <row r="264" spans="1:7" ht="15.75" x14ac:dyDescent="0.25">
      <c r="A264" s="8"/>
      <c r="C264" s="12"/>
      <c r="D264" s="23"/>
      <c r="F264" s="12"/>
      <c r="G264" s="13"/>
    </row>
    <row r="265" spans="1:7" x14ac:dyDescent="0.2">
      <c r="C265" s="12"/>
      <c r="D265" s="23"/>
      <c r="F265" s="12"/>
      <c r="G265" s="13"/>
    </row>
    <row r="266" spans="1:7" x14ac:dyDescent="0.2">
      <c r="A266" s="10"/>
      <c r="C266" s="12"/>
      <c r="D266" s="23"/>
      <c r="F266" s="12"/>
      <c r="G266" s="13"/>
    </row>
    <row r="267" spans="1:7" x14ac:dyDescent="0.2">
      <c r="C267" s="12"/>
      <c r="D267" s="23"/>
      <c r="F267" s="12"/>
      <c r="G267" s="13"/>
    </row>
    <row r="268" spans="1:7" x14ac:dyDescent="0.2">
      <c r="A268" s="10"/>
      <c r="C268" s="12"/>
      <c r="D268" s="23"/>
      <c r="F268" s="12"/>
      <c r="G268" s="13"/>
    </row>
    <row r="269" spans="1:7" x14ac:dyDescent="0.2">
      <c r="C269" s="12"/>
      <c r="D269" s="23"/>
      <c r="F269" s="12"/>
      <c r="G269" s="13"/>
    </row>
    <row r="270" spans="1:7" ht="15.75" x14ac:dyDescent="0.25">
      <c r="A270" s="15"/>
      <c r="C270" s="12"/>
      <c r="D270" s="23"/>
      <c r="F270" s="12"/>
      <c r="G270" s="13"/>
    </row>
    <row r="271" spans="1:7" ht="15.75" x14ac:dyDescent="0.25">
      <c r="A271" s="15"/>
      <c r="C271" s="12"/>
      <c r="D271" s="23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23"/>
      <c r="F275" s="12"/>
      <c r="G275" s="13"/>
    </row>
    <row r="276" spans="1:7" x14ac:dyDescent="0.2">
      <c r="B276" s="10"/>
      <c r="C276" s="16"/>
      <c r="D276" s="25"/>
      <c r="E276" s="10"/>
      <c r="F276" s="16"/>
      <c r="G276" s="17"/>
    </row>
    <row r="277" spans="1:7" ht="15.75" x14ac:dyDescent="0.25">
      <c r="A277" s="6"/>
      <c r="C277" s="12"/>
      <c r="D277" s="23"/>
      <c r="F277" s="12"/>
      <c r="G277" s="13"/>
    </row>
    <row r="278" spans="1:7" x14ac:dyDescent="0.2">
      <c r="B278" s="10"/>
      <c r="C278" s="16"/>
      <c r="D278" s="25"/>
      <c r="E278" s="10"/>
      <c r="F278" s="16"/>
      <c r="G278" s="17"/>
    </row>
    <row r="279" spans="1:7" ht="15.75" x14ac:dyDescent="0.25">
      <c r="A279" s="6"/>
      <c r="C279" s="12"/>
      <c r="D279" s="23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24"/>
      <c r="E291" s="5"/>
      <c r="F291" s="5"/>
      <c r="G291" s="5"/>
    </row>
    <row r="292" spans="2:7" x14ac:dyDescent="0.2">
      <c r="D292" s="24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26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26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27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28"/>
      <c r="G333" s="12"/>
    </row>
    <row r="334" spans="3:7" x14ac:dyDescent="0.2">
      <c r="D334" s="28"/>
      <c r="G334" s="12"/>
    </row>
    <row r="335" spans="3:7" x14ac:dyDescent="0.2">
      <c r="D335" s="28"/>
      <c r="G335" s="12"/>
    </row>
    <row r="336" spans="3:7" x14ac:dyDescent="0.2">
      <c r="D336" s="28"/>
      <c r="G336" s="12"/>
    </row>
    <row r="337" spans="4:7" x14ac:dyDescent="0.2">
      <c r="D337" s="28"/>
      <c r="G337" s="12"/>
    </row>
    <row r="338" spans="4:7" x14ac:dyDescent="0.2">
      <c r="D338" s="28"/>
      <c r="G338" s="12"/>
    </row>
    <row r="339" spans="4:7" x14ac:dyDescent="0.2">
      <c r="D339" s="28"/>
      <c r="G339" s="12"/>
    </row>
    <row r="340" spans="4:7" x14ac:dyDescent="0.2">
      <c r="D340" s="28"/>
      <c r="G340" s="12"/>
    </row>
    <row r="341" spans="4:7" x14ac:dyDescent="0.2">
      <c r="D341" s="28"/>
      <c r="G341" s="12"/>
    </row>
    <row r="342" spans="4:7" x14ac:dyDescent="0.2">
      <c r="D342" s="28"/>
      <c r="G342" s="12"/>
    </row>
    <row r="343" spans="4:7" x14ac:dyDescent="0.2">
      <c r="D343" s="28"/>
      <c r="G343" s="12"/>
    </row>
    <row r="344" spans="4:7" x14ac:dyDescent="0.2">
      <c r="D344" s="28"/>
      <c r="G344" s="12"/>
    </row>
    <row r="345" spans="4:7" x14ac:dyDescent="0.2">
      <c r="D345" s="28"/>
      <c r="G345" s="12"/>
    </row>
  </sheetData>
  <mergeCells count="5">
    <mergeCell ref="B83:C83"/>
    <mergeCell ref="A85:I85"/>
    <mergeCell ref="A86:I86"/>
    <mergeCell ref="A2:A3"/>
    <mergeCell ref="B2:G2"/>
  </mergeCells>
  <phoneticPr fontId="15" type="noConversion"/>
  <pageMargins left="0.75" right="0.75" top="0.81" bottom="0.82" header="0.5" footer="0.5"/>
  <pageSetup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46"/>
  <sheetViews>
    <sheetView topLeftCell="A58" zoomScale="70" workbookViewId="0">
      <selection activeCell="A87" sqref="A87"/>
    </sheetView>
  </sheetViews>
  <sheetFormatPr defaultColWidth="11.5" defaultRowHeight="15" x14ac:dyDescent="0.2"/>
  <cols>
    <col min="1" max="1" width="50.5" style="1" customWidth="1"/>
    <col min="2" max="3" width="12" style="1" customWidth="1"/>
    <col min="4" max="4" width="12" style="22" customWidth="1"/>
    <col min="5" max="7" width="12" style="1" customWidth="1"/>
    <col min="8" max="8" width="13.33203125" style="1" customWidth="1"/>
    <col min="9" max="9" width="22.1640625" style="1" customWidth="1"/>
    <col min="10" max="10" width="5.83203125" style="1" customWidth="1"/>
    <col min="11" max="11" width="14.6640625" style="1" bestFit="1" customWidth="1"/>
    <col min="12" max="14" width="10.33203125" style="1" bestFit="1" customWidth="1"/>
    <col min="15" max="15" width="8.6640625" style="1" bestFit="1" customWidth="1"/>
    <col min="16" max="16384" width="11.5" style="1"/>
  </cols>
  <sheetData>
    <row r="1" spans="1:17" s="20" customFormat="1" ht="30.75" customHeight="1" x14ac:dyDescent="0.3">
      <c r="A1" s="97" t="s">
        <v>66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  <c r="P1" s="84"/>
      <c r="Q1" s="84"/>
    </row>
    <row r="2" spans="1:17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  <c r="P2" s="84"/>
      <c r="Q2" s="84"/>
    </row>
    <row r="3" spans="1:17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  <c r="P3" s="84"/>
      <c r="Q3" s="84"/>
    </row>
    <row r="4" spans="1:17" s="37" customFormat="1" ht="17.100000000000001" customHeight="1" x14ac:dyDescent="0.25">
      <c r="A4" s="32" t="s">
        <v>56</v>
      </c>
      <c r="B4" s="33">
        <f t="shared" ref="B4:G4" si="0">SUM(B5:B9)</f>
        <v>2764</v>
      </c>
      <c r="C4" s="34">
        <f t="shared" si="0"/>
        <v>2044</v>
      </c>
      <c r="D4" s="31">
        <f t="shared" si="0"/>
        <v>4580</v>
      </c>
      <c r="E4" s="34">
        <f t="shared" si="0"/>
        <v>2331</v>
      </c>
      <c r="F4" s="31">
        <f t="shared" si="0"/>
        <v>470</v>
      </c>
      <c r="G4" s="35">
        <f t="shared" si="0"/>
        <v>343</v>
      </c>
      <c r="H4" s="36">
        <f>SUM(B4:G4)</f>
        <v>12532</v>
      </c>
      <c r="I4" s="62">
        <f t="shared" ref="I4:I13" si="1">H4/B$83 * 100000</f>
        <v>510.29611589406267</v>
      </c>
      <c r="J4" s="38"/>
      <c r="K4" s="86"/>
      <c r="L4" s="86"/>
      <c r="M4" s="86"/>
      <c r="N4" s="84"/>
      <c r="O4" s="84"/>
      <c r="P4" s="84"/>
      <c r="Q4" s="84"/>
    </row>
    <row r="5" spans="1:17" ht="17.100000000000001" customHeight="1" x14ac:dyDescent="0.25">
      <c r="A5" s="159" t="s">
        <v>17</v>
      </c>
      <c r="B5" s="102">
        <v>2690</v>
      </c>
      <c r="C5" s="103">
        <v>1813</v>
      </c>
      <c r="D5" s="104">
        <v>4228</v>
      </c>
      <c r="E5" s="103">
        <v>2232</v>
      </c>
      <c r="F5" s="104">
        <v>464</v>
      </c>
      <c r="G5" s="105">
        <v>339</v>
      </c>
      <c r="H5" s="106">
        <f t="shared" ref="H5:H68" si="2">SUM(B5:G5)</f>
        <v>11766</v>
      </c>
      <c r="I5" s="107">
        <f t="shared" si="1"/>
        <v>479.10501911981657</v>
      </c>
      <c r="K5" s="84"/>
      <c r="L5" s="84"/>
      <c r="M5" s="84"/>
      <c r="N5" s="84"/>
      <c r="O5" s="84"/>
      <c r="P5" s="84"/>
      <c r="Q5" s="84"/>
    </row>
    <row r="6" spans="1:17" ht="17.100000000000001" customHeight="1" x14ac:dyDescent="0.25">
      <c r="A6" s="159" t="s">
        <v>18</v>
      </c>
      <c r="B6" s="102">
        <v>25</v>
      </c>
      <c r="C6" s="103">
        <v>66</v>
      </c>
      <c r="D6" s="104">
        <v>85</v>
      </c>
      <c r="E6" s="103">
        <v>18</v>
      </c>
      <c r="F6" s="104">
        <v>4</v>
      </c>
      <c r="G6" s="105">
        <v>4</v>
      </c>
      <c r="H6" s="106">
        <f t="shared" si="2"/>
        <v>202</v>
      </c>
      <c r="I6" s="107">
        <f t="shared" si="1"/>
        <v>8.225328392164112</v>
      </c>
      <c r="K6" s="84"/>
      <c r="L6" s="84"/>
      <c r="M6" s="84"/>
      <c r="N6" s="84"/>
      <c r="O6" s="84"/>
      <c r="P6" s="84"/>
      <c r="Q6" s="84"/>
    </row>
    <row r="7" spans="1:17" ht="17.100000000000001" customHeight="1" x14ac:dyDescent="0.25">
      <c r="A7" s="159" t="s">
        <v>19</v>
      </c>
      <c r="B7" s="102">
        <v>47</v>
      </c>
      <c r="C7" s="103">
        <v>155</v>
      </c>
      <c r="D7" s="104">
        <v>249</v>
      </c>
      <c r="E7" s="103">
        <v>77</v>
      </c>
      <c r="F7" s="104">
        <v>2</v>
      </c>
      <c r="G7" s="105">
        <v>0</v>
      </c>
      <c r="H7" s="106">
        <f t="shared" si="2"/>
        <v>530</v>
      </c>
      <c r="I7" s="107">
        <f t="shared" si="1"/>
        <v>21.581307167559306</v>
      </c>
      <c r="K7" s="84"/>
      <c r="L7" s="84"/>
      <c r="M7" s="84"/>
      <c r="N7" s="84"/>
      <c r="O7" s="84"/>
      <c r="P7" s="84"/>
      <c r="Q7" s="84"/>
    </row>
    <row r="8" spans="1:17" ht="17.100000000000001" customHeight="1" x14ac:dyDescent="0.25">
      <c r="A8" s="159" t="s">
        <v>38</v>
      </c>
      <c r="B8" s="108">
        <v>0</v>
      </c>
      <c r="C8" s="109">
        <v>4</v>
      </c>
      <c r="D8" s="110">
        <v>6</v>
      </c>
      <c r="E8" s="109">
        <v>1</v>
      </c>
      <c r="F8" s="110">
        <v>0</v>
      </c>
      <c r="G8" s="111">
        <v>0</v>
      </c>
      <c r="H8" s="106">
        <f t="shared" si="2"/>
        <v>11</v>
      </c>
      <c r="I8" s="114">
        <f t="shared" si="1"/>
        <v>0.44791392234557054</v>
      </c>
      <c r="K8" s="84"/>
      <c r="L8" s="84"/>
      <c r="M8" s="84"/>
      <c r="N8" s="84"/>
      <c r="O8" s="84"/>
      <c r="P8" s="84"/>
      <c r="Q8" s="84"/>
    </row>
    <row r="9" spans="1:17" ht="17.100000000000001" customHeight="1" x14ac:dyDescent="0.25">
      <c r="A9" s="160" t="s">
        <v>20</v>
      </c>
      <c r="B9" s="108">
        <v>2</v>
      </c>
      <c r="C9" s="109">
        <v>6</v>
      </c>
      <c r="D9" s="110">
        <v>12</v>
      </c>
      <c r="E9" s="109">
        <v>3</v>
      </c>
      <c r="F9" s="110">
        <v>0</v>
      </c>
      <c r="G9" s="111">
        <v>0</v>
      </c>
      <c r="H9" s="112">
        <f>SUM(B9:G9)</f>
        <v>23</v>
      </c>
      <c r="I9" s="113">
        <f t="shared" si="1"/>
        <v>0.93654729217710186</v>
      </c>
      <c r="K9" s="84"/>
      <c r="L9" s="84"/>
      <c r="M9" s="84"/>
      <c r="N9" s="84"/>
      <c r="O9" s="84"/>
      <c r="P9" s="84"/>
      <c r="Q9" s="84"/>
    </row>
    <row r="10" spans="1:17" ht="17.100000000000001" customHeight="1" x14ac:dyDescent="0.25">
      <c r="A10" s="32" t="s">
        <v>60</v>
      </c>
      <c r="B10" s="33">
        <f t="shared" ref="B10:G10" si="3">SUM(B11:B15)</f>
        <v>32</v>
      </c>
      <c r="C10" s="34">
        <f t="shared" si="3"/>
        <v>10</v>
      </c>
      <c r="D10" s="31">
        <f t="shared" si="3"/>
        <v>10</v>
      </c>
      <c r="E10" s="34">
        <f t="shared" si="3"/>
        <v>6</v>
      </c>
      <c r="F10" s="31">
        <f t="shared" si="3"/>
        <v>1</v>
      </c>
      <c r="G10" s="35">
        <f t="shared" si="3"/>
        <v>1</v>
      </c>
      <c r="H10" s="36">
        <f t="shared" si="2"/>
        <v>60</v>
      </c>
      <c r="I10" s="62">
        <f t="shared" si="1"/>
        <v>2.4431668491576572</v>
      </c>
      <c r="J10" s="37"/>
      <c r="K10" s="84"/>
      <c r="L10" s="84"/>
      <c r="M10" s="84"/>
      <c r="N10" s="84"/>
      <c r="O10" s="84"/>
      <c r="P10" s="84"/>
      <c r="Q10" s="84"/>
    </row>
    <row r="11" spans="1:17" ht="17.100000000000001" customHeight="1" x14ac:dyDescent="0.25">
      <c r="A11" s="159" t="s">
        <v>17</v>
      </c>
      <c r="B11" s="102">
        <v>29</v>
      </c>
      <c r="C11" s="103">
        <v>9</v>
      </c>
      <c r="D11" s="104">
        <v>8</v>
      </c>
      <c r="E11" s="103">
        <v>4</v>
      </c>
      <c r="F11" s="104">
        <v>1</v>
      </c>
      <c r="G11" s="105">
        <v>1</v>
      </c>
      <c r="H11" s="106">
        <f t="shared" si="2"/>
        <v>52</v>
      </c>
      <c r="I11" s="107">
        <f t="shared" si="1"/>
        <v>2.1174112692699696</v>
      </c>
      <c r="J11" s="30"/>
      <c r="K11" s="84"/>
      <c r="L11" s="84"/>
      <c r="M11" s="84"/>
      <c r="N11" s="84"/>
      <c r="O11" s="84"/>
      <c r="P11" s="84"/>
      <c r="Q11" s="84"/>
    </row>
    <row r="12" spans="1:17" ht="17.100000000000001" customHeight="1" x14ac:dyDescent="0.25">
      <c r="A12" s="159" t="s">
        <v>18</v>
      </c>
      <c r="B12" s="102">
        <v>0</v>
      </c>
      <c r="C12" s="103">
        <v>0</v>
      </c>
      <c r="D12" s="104">
        <v>1</v>
      </c>
      <c r="E12" s="103">
        <v>1</v>
      </c>
      <c r="F12" s="104">
        <v>0</v>
      </c>
      <c r="G12" s="105">
        <v>0</v>
      </c>
      <c r="H12" s="106">
        <f>SUM(B12:G12)</f>
        <v>2</v>
      </c>
      <c r="I12" s="114">
        <f t="shared" si="1"/>
        <v>8.1438894971921916E-2</v>
      </c>
      <c r="J12" s="30"/>
      <c r="K12" s="84"/>
      <c r="L12" s="84"/>
      <c r="M12" s="84"/>
      <c r="N12" s="84"/>
      <c r="O12" s="84"/>
      <c r="P12" s="84"/>
      <c r="Q12" s="84"/>
    </row>
    <row r="13" spans="1:17" s="37" customFormat="1" ht="17.100000000000001" customHeight="1" x14ac:dyDescent="0.25">
      <c r="A13" s="159" t="s">
        <v>19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  <c r="J13" s="30"/>
      <c r="K13" s="84"/>
      <c r="L13" s="84"/>
      <c r="M13" s="84"/>
      <c r="N13" s="84"/>
      <c r="O13" s="84"/>
      <c r="P13" s="84"/>
      <c r="Q13" s="84"/>
    </row>
    <row r="14" spans="1:17" s="30" customFormat="1" ht="17.100000000000001" customHeight="1" x14ac:dyDescent="0.25">
      <c r="A14" s="159" t="s">
        <v>20</v>
      </c>
      <c r="B14" s="102">
        <v>0</v>
      </c>
      <c r="C14" s="103">
        <v>1</v>
      </c>
      <c r="D14" s="104">
        <v>1</v>
      </c>
      <c r="E14" s="103">
        <v>1</v>
      </c>
      <c r="F14" s="104">
        <v>0</v>
      </c>
      <c r="G14" s="105">
        <v>0</v>
      </c>
      <c r="H14" s="106">
        <f>SUM(B14:G14)</f>
        <v>3</v>
      </c>
      <c r="I14" s="158" t="e">
        <f>H14/#REF! * 100000</f>
        <v>#REF!</v>
      </c>
      <c r="J14" s="157"/>
    </row>
    <row r="15" spans="1:17" s="30" customFormat="1" ht="17.100000000000001" customHeight="1" x14ac:dyDescent="0.25">
      <c r="A15" s="160" t="s">
        <v>40</v>
      </c>
      <c r="B15" s="115">
        <v>3</v>
      </c>
      <c r="C15" s="116">
        <v>0</v>
      </c>
      <c r="D15" s="117">
        <v>0</v>
      </c>
      <c r="E15" s="116">
        <v>0</v>
      </c>
      <c r="F15" s="117">
        <v>0</v>
      </c>
      <c r="G15" s="118">
        <v>0</v>
      </c>
      <c r="H15" s="119">
        <f t="shared" si="2"/>
        <v>3</v>
      </c>
      <c r="I15" s="151">
        <f t="shared" ref="I15:I46" si="4">H15/B$83 * 100000</f>
        <v>0.12215834245788286</v>
      </c>
      <c r="J15" s="1"/>
      <c r="K15" s="84"/>
      <c r="L15" s="84"/>
      <c r="M15" s="84"/>
      <c r="N15" s="84"/>
      <c r="O15" s="84"/>
      <c r="P15" s="84"/>
      <c r="Q15" s="84"/>
    </row>
    <row r="16" spans="1:17" s="30" customFormat="1" ht="17.100000000000001" customHeight="1" x14ac:dyDescent="0.25">
      <c r="A16" s="32" t="s">
        <v>49</v>
      </c>
      <c r="B16" s="33">
        <f t="shared" ref="B16:G16" si="5">SUM(B17:B20)</f>
        <v>16663</v>
      </c>
      <c r="C16" s="34">
        <f t="shared" si="5"/>
        <v>2191</v>
      </c>
      <c r="D16" s="31">
        <f t="shared" si="5"/>
        <v>6076</v>
      </c>
      <c r="E16" s="34">
        <f t="shared" si="5"/>
        <v>6779</v>
      </c>
      <c r="F16" s="31">
        <f t="shared" si="5"/>
        <v>2912</v>
      </c>
      <c r="G16" s="35">
        <f t="shared" si="5"/>
        <v>5459</v>
      </c>
      <c r="H16" s="36">
        <f t="shared" si="2"/>
        <v>40080</v>
      </c>
      <c r="I16" s="75">
        <f t="shared" si="4"/>
        <v>1632.0354552373149</v>
      </c>
      <c r="J16" s="37"/>
      <c r="K16" s="84"/>
      <c r="L16" s="84"/>
      <c r="M16" s="84"/>
      <c r="N16" s="84"/>
      <c r="O16" s="84"/>
      <c r="P16" s="84"/>
      <c r="Q16" s="84"/>
    </row>
    <row r="17" spans="1:17" s="30" customFormat="1" ht="17.100000000000001" customHeight="1" x14ac:dyDescent="0.25">
      <c r="A17" s="159" t="s">
        <v>17</v>
      </c>
      <c r="B17" s="102">
        <v>16652</v>
      </c>
      <c r="C17" s="103">
        <v>2183</v>
      </c>
      <c r="D17" s="104">
        <v>6060</v>
      </c>
      <c r="E17" s="103">
        <v>6771</v>
      </c>
      <c r="F17" s="104">
        <v>2912</v>
      </c>
      <c r="G17" s="105">
        <v>5459</v>
      </c>
      <c r="H17" s="106">
        <f t="shared" si="2"/>
        <v>40037</v>
      </c>
      <c r="I17" s="121">
        <f t="shared" si="4"/>
        <v>1630.2845189954187</v>
      </c>
      <c r="K17" s="84"/>
      <c r="L17" s="84"/>
      <c r="M17" s="84"/>
      <c r="N17" s="84"/>
      <c r="O17" s="84"/>
      <c r="P17" s="84"/>
      <c r="Q17" s="84"/>
    </row>
    <row r="18" spans="1:17" s="30" customFormat="1" ht="17.100000000000001" customHeight="1" x14ac:dyDescent="0.25">
      <c r="A18" s="159" t="s">
        <v>18</v>
      </c>
      <c r="B18" s="102">
        <v>1</v>
      </c>
      <c r="C18" s="128">
        <v>1</v>
      </c>
      <c r="D18" s="104">
        <v>4</v>
      </c>
      <c r="E18" s="103">
        <v>2</v>
      </c>
      <c r="F18" s="104">
        <v>0</v>
      </c>
      <c r="G18" s="105">
        <v>0</v>
      </c>
      <c r="H18" s="106">
        <f t="shared" si="2"/>
        <v>8</v>
      </c>
      <c r="I18" s="122">
        <f t="shared" si="4"/>
        <v>0.32575557988768766</v>
      </c>
      <c r="K18" s="84"/>
      <c r="L18" s="84"/>
      <c r="M18" s="84"/>
      <c r="N18" s="84"/>
      <c r="O18" s="84"/>
      <c r="P18" s="84"/>
      <c r="Q18" s="84"/>
    </row>
    <row r="19" spans="1:17" ht="17.100000000000001" customHeight="1" x14ac:dyDescent="0.25">
      <c r="A19" s="159" t="s">
        <v>19</v>
      </c>
      <c r="B19" s="154">
        <v>1</v>
      </c>
      <c r="C19" s="134">
        <v>2</v>
      </c>
      <c r="D19" s="155">
        <v>2</v>
      </c>
      <c r="E19" s="103">
        <v>1</v>
      </c>
      <c r="F19" s="104">
        <v>0</v>
      </c>
      <c r="G19" s="105">
        <v>0</v>
      </c>
      <c r="H19" s="106">
        <f>SUM(B19:G19)</f>
        <v>6</v>
      </c>
      <c r="I19" s="122">
        <f t="shared" si="4"/>
        <v>0.24431668491576572</v>
      </c>
      <c r="J19" s="30"/>
      <c r="K19" s="84"/>
      <c r="L19" s="84"/>
      <c r="M19" s="84"/>
      <c r="N19" s="84"/>
      <c r="O19" s="84"/>
      <c r="P19" s="84"/>
      <c r="Q19" s="84"/>
    </row>
    <row r="20" spans="1:17" s="37" customFormat="1" ht="17.100000000000001" customHeight="1" x14ac:dyDescent="0.25">
      <c r="A20" s="161" t="s">
        <v>20</v>
      </c>
      <c r="B20" s="154">
        <v>9</v>
      </c>
      <c r="C20" s="134">
        <v>5</v>
      </c>
      <c r="D20" s="155">
        <v>10</v>
      </c>
      <c r="E20" s="103">
        <v>5</v>
      </c>
      <c r="F20" s="104">
        <v>0</v>
      </c>
      <c r="G20" s="105">
        <v>0</v>
      </c>
      <c r="H20" s="119">
        <f>SUM(B20:G20)</f>
        <v>29</v>
      </c>
      <c r="I20" s="123">
        <f t="shared" si="4"/>
        <v>1.1808639770928675</v>
      </c>
      <c r="J20" s="30"/>
      <c r="K20" s="84"/>
      <c r="L20" s="84"/>
      <c r="M20" s="84"/>
      <c r="N20" s="84"/>
      <c r="O20" s="84"/>
      <c r="P20" s="84"/>
      <c r="Q20" s="84"/>
    </row>
    <row r="21" spans="1:17" s="30" customFormat="1" ht="17.100000000000001" customHeight="1" x14ac:dyDescent="0.25">
      <c r="A21" s="162" t="s">
        <v>50</v>
      </c>
      <c r="B21" s="33">
        <f t="shared" ref="B21:G21" si="6">SUM(B22:B25)</f>
        <v>62</v>
      </c>
      <c r="C21" s="34">
        <f t="shared" si="6"/>
        <v>42</v>
      </c>
      <c r="D21" s="31">
        <f t="shared" si="6"/>
        <v>92</v>
      </c>
      <c r="E21" s="34">
        <f t="shared" si="6"/>
        <v>77</v>
      </c>
      <c r="F21" s="31">
        <f t="shared" si="6"/>
        <v>11</v>
      </c>
      <c r="G21" s="35">
        <f t="shared" si="6"/>
        <v>6</v>
      </c>
      <c r="H21" s="124">
        <f t="shared" si="2"/>
        <v>290</v>
      </c>
      <c r="I21" s="125">
        <f t="shared" si="4"/>
        <v>11.808639770928677</v>
      </c>
      <c r="K21" s="84"/>
      <c r="L21" s="84"/>
      <c r="M21" s="84"/>
      <c r="N21" s="84"/>
      <c r="O21" s="84"/>
      <c r="P21" s="84"/>
      <c r="Q21" s="84"/>
    </row>
    <row r="22" spans="1:17" s="30" customFormat="1" ht="17.100000000000001" customHeight="1" x14ac:dyDescent="0.25">
      <c r="A22" s="159" t="s">
        <v>17</v>
      </c>
      <c r="B22" s="102">
        <v>59</v>
      </c>
      <c r="C22" s="103">
        <v>38</v>
      </c>
      <c r="D22" s="104">
        <v>90</v>
      </c>
      <c r="E22" s="103">
        <v>71</v>
      </c>
      <c r="F22" s="104">
        <v>10</v>
      </c>
      <c r="G22" s="105">
        <v>6</v>
      </c>
      <c r="H22" s="106">
        <f t="shared" si="2"/>
        <v>274</v>
      </c>
      <c r="I22" s="121">
        <f t="shared" si="4"/>
        <v>11.157128611153301</v>
      </c>
      <c r="K22" s="84"/>
      <c r="L22" s="84"/>
      <c r="M22" s="84"/>
      <c r="N22" s="84"/>
      <c r="O22" s="84"/>
      <c r="P22" s="84"/>
      <c r="Q22" s="84"/>
    </row>
    <row r="23" spans="1:17" s="30" customFormat="1" ht="17.100000000000001" customHeight="1" x14ac:dyDescent="0.25">
      <c r="A23" s="159" t="s">
        <v>18</v>
      </c>
      <c r="B23" s="102">
        <v>1</v>
      </c>
      <c r="C23" s="103">
        <v>1</v>
      </c>
      <c r="D23" s="104">
        <v>0</v>
      </c>
      <c r="E23" s="103">
        <v>0</v>
      </c>
      <c r="F23" s="104">
        <v>0</v>
      </c>
      <c r="G23" s="105">
        <v>0</v>
      </c>
      <c r="H23" s="106">
        <f t="shared" si="2"/>
        <v>2</v>
      </c>
      <c r="I23" s="122">
        <f t="shared" si="4"/>
        <v>8.1438894971921916E-2</v>
      </c>
      <c r="K23" s="84"/>
      <c r="L23" s="84"/>
      <c r="M23" s="84"/>
      <c r="N23" s="84"/>
      <c r="O23" s="84"/>
      <c r="P23" s="84"/>
      <c r="Q23" s="84"/>
    </row>
    <row r="24" spans="1:17" s="30" customFormat="1" ht="17.100000000000001" customHeight="1" x14ac:dyDescent="0.25">
      <c r="A24" s="159" t="s">
        <v>19</v>
      </c>
      <c r="B24" s="102">
        <v>0</v>
      </c>
      <c r="C24" s="103">
        <v>1</v>
      </c>
      <c r="D24" s="104">
        <v>0</v>
      </c>
      <c r="E24" s="103">
        <v>3</v>
      </c>
      <c r="F24" s="104">
        <v>0</v>
      </c>
      <c r="G24" s="105">
        <v>0</v>
      </c>
      <c r="H24" s="106">
        <f t="shared" si="2"/>
        <v>4</v>
      </c>
      <c r="I24" s="122">
        <f t="shared" si="4"/>
        <v>0.16287778994384383</v>
      </c>
      <c r="K24" s="84"/>
      <c r="L24" s="84"/>
      <c r="M24" s="84"/>
      <c r="N24" s="84"/>
      <c r="O24" s="84"/>
      <c r="P24" s="84"/>
      <c r="Q24" s="84"/>
    </row>
    <row r="25" spans="1:17" s="30" customFormat="1" ht="17.100000000000001" customHeight="1" x14ac:dyDescent="0.25">
      <c r="A25" s="161" t="s">
        <v>20</v>
      </c>
      <c r="B25" s="102">
        <v>2</v>
      </c>
      <c r="C25" s="103">
        <v>2</v>
      </c>
      <c r="D25" s="104">
        <v>2</v>
      </c>
      <c r="E25" s="103">
        <v>3</v>
      </c>
      <c r="F25" s="104">
        <v>1</v>
      </c>
      <c r="G25" s="105">
        <v>0</v>
      </c>
      <c r="H25" s="119">
        <f t="shared" si="2"/>
        <v>10</v>
      </c>
      <c r="I25" s="126">
        <f t="shared" si="4"/>
        <v>0.40719447485960952</v>
      </c>
      <c r="K25" s="84"/>
      <c r="L25" s="84"/>
      <c r="M25" s="84"/>
      <c r="N25" s="84"/>
      <c r="O25" s="84"/>
      <c r="P25" s="84"/>
      <c r="Q25" s="84"/>
    </row>
    <row r="26" spans="1:17" s="30" customFormat="1" ht="17.100000000000001" customHeight="1" x14ac:dyDescent="0.25">
      <c r="A26" s="162" t="s">
        <v>55</v>
      </c>
      <c r="B26" s="33">
        <f t="shared" ref="B26:G26" si="7">SUM(B27:B30)</f>
        <v>520</v>
      </c>
      <c r="C26" s="34">
        <f t="shared" si="7"/>
        <v>215</v>
      </c>
      <c r="D26" s="31">
        <f t="shared" si="7"/>
        <v>529</v>
      </c>
      <c r="E26" s="34">
        <f t="shared" si="7"/>
        <v>321</v>
      </c>
      <c r="F26" s="31">
        <f t="shared" si="7"/>
        <v>79</v>
      </c>
      <c r="G26" s="35">
        <f t="shared" si="7"/>
        <v>37</v>
      </c>
      <c r="H26" s="124">
        <f t="shared" si="2"/>
        <v>1701</v>
      </c>
      <c r="I26" s="125">
        <f t="shared" si="4"/>
        <v>69.26378017361958</v>
      </c>
      <c r="K26" s="84"/>
      <c r="L26" s="84"/>
      <c r="M26" s="84"/>
      <c r="N26" s="84"/>
      <c r="O26" s="84"/>
      <c r="P26" s="84"/>
      <c r="Q26" s="84"/>
    </row>
    <row r="27" spans="1:17" s="30" customFormat="1" ht="17.100000000000001" customHeight="1" x14ac:dyDescent="0.25">
      <c r="A27" s="159" t="s">
        <v>17</v>
      </c>
      <c r="B27" s="102">
        <v>519</v>
      </c>
      <c r="C27" s="103">
        <v>214</v>
      </c>
      <c r="D27" s="104">
        <v>523</v>
      </c>
      <c r="E27" s="103">
        <v>320</v>
      </c>
      <c r="F27" s="104">
        <v>79</v>
      </c>
      <c r="G27" s="105">
        <v>36</v>
      </c>
      <c r="H27" s="106">
        <f>SUM(B27:G27)</f>
        <v>1691</v>
      </c>
      <c r="I27" s="121">
        <f t="shared" si="4"/>
        <v>68.856585698759972</v>
      </c>
      <c r="K27" s="84"/>
      <c r="L27" s="84"/>
      <c r="M27" s="84"/>
      <c r="N27" s="84"/>
      <c r="O27" s="84"/>
      <c r="P27" s="84"/>
      <c r="Q27" s="84"/>
    </row>
    <row r="28" spans="1:17" s="30" customFormat="1" ht="17.100000000000001" customHeight="1" x14ac:dyDescent="0.25">
      <c r="A28" s="159" t="s">
        <v>18</v>
      </c>
      <c r="B28" s="102">
        <v>1</v>
      </c>
      <c r="C28" s="103">
        <v>0</v>
      </c>
      <c r="D28" s="104">
        <v>0</v>
      </c>
      <c r="E28" s="103">
        <v>0</v>
      </c>
      <c r="F28" s="104">
        <v>0</v>
      </c>
      <c r="G28" s="105">
        <v>0</v>
      </c>
      <c r="H28" s="106">
        <f>SUM(B28:G28)</f>
        <v>1</v>
      </c>
      <c r="I28" s="122">
        <f t="shared" si="4"/>
        <v>4.0719447485960958E-2</v>
      </c>
      <c r="K28" s="84"/>
      <c r="L28" s="84"/>
      <c r="M28" s="84"/>
      <c r="N28" s="84"/>
      <c r="O28" s="84"/>
      <c r="P28" s="84"/>
      <c r="Q28" s="84"/>
    </row>
    <row r="29" spans="1:17" s="30" customFormat="1" ht="17.100000000000001" customHeight="1" x14ac:dyDescent="0.25">
      <c r="A29" s="159" t="s">
        <v>19</v>
      </c>
      <c r="B29" s="102">
        <v>0</v>
      </c>
      <c r="C29" s="103">
        <v>1</v>
      </c>
      <c r="D29" s="104">
        <v>5</v>
      </c>
      <c r="E29" s="103">
        <v>0</v>
      </c>
      <c r="F29" s="104">
        <v>0</v>
      </c>
      <c r="G29" s="105">
        <v>1</v>
      </c>
      <c r="H29" s="106">
        <f>SUM(B29:G29)</f>
        <v>7</v>
      </c>
      <c r="I29" s="122">
        <f t="shared" si="4"/>
        <v>0.28503613240172665</v>
      </c>
      <c r="K29" s="84"/>
      <c r="L29" s="84"/>
      <c r="M29" s="84"/>
      <c r="N29" s="84"/>
      <c r="O29" s="84"/>
      <c r="P29" s="84"/>
      <c r="Q29" s="84"/>
    </row>
    <row r="30" spans="1:17" s="30" customFormat="1" ht="17.100000000000001" customHeight="1" x14ac:dyDescent="0.25">
      <c r="A30" s="160" t="s">
        <v>20</v>
      </c>
      <c r="B30" s="127">
        <v>0</v>
      </c>
      <c r="C30" s="128">
        <v>0</v>
      </c>
      <c r="D30" s="129">
        <v>1</v>
      </c>
      <c r="E30" s="128">
        <v>1</v>
      </c>
      <c r="F30" s="129">
        <v>0</v>
      </c>
      <c r="G30" s="130">
        <v>0</v>
      </c>
      <c r="H30" s="131">
        <f t="shared" si="2"/>
        <v>2</v>
      </c>
      <c r="I30" s="132">
        <f t="shared" si="4"/>
        <v>8.1438894971921916E-2</v>
      </c>
      <c r="J30" s="1"/>
      <c r="K30" s="84"/>
      <c r="L30" s="84"/>
      <c r="M30" s="84"/>
      <c r="N30" s="84"/>
      <c r="O30" s="84"/>
      <c r="P30" s="84"/>
      <c r="Q30" s="84"/>
    </row>
    <row r="31" spans="1:17" s="37" customFormat="1" ht="17.100000000000001" customHeight="1" x14ac:dyDescent="0.25">
      <c r="A31" s="32" t="s">
        <v>52</v>
      </c>
      <c r="B31" s="33">
        <f t="shared" ref="B31:G31" si="8">SUM(B32:B36)</f>
        <v>66</v>
      </c>
      <c r="C31" s="34">
        <f t="shared" si="8"/>
        <v>161</v>
      </c>
      <c r="D31" s="31">
        <f t="shared" si="8"/>
        <v>142</v>
      </c>
      <c r="E31" s="34">
        <f t="shared" si="8"/>
        <v>41</v>
      </c>
      <c r="F31" s="31">
        <f t="shared" si="8"/>
        <v>2</v>
      </c>
      <c r="G31" s="35">
        <f t="shared" si="8"/>
        <v>3</v>
      </c>
      <c r="H31" s="36">
        <f t="shared" si="2"/>
        <v>415</v>
      </c>
      <c r="I31" s="75">
        <f t="shared" si="4"/>
        <v>16.898570706673794</v>
      </c>
      <c r="K31" s="84"/>
      <c r="L31" s="84"/>
      <c r="M31" s="84"/>
      <c r="N31" s="84"/>
      <c r="O31" s="84"/>
      <c r="P31" s="84"/>
      <c r="Q31" s="84"/>
    </row>
    <row r="32" spans="1:17" s="30" customFormat="1" ht="17.100000000000001" customHeight="1" x14ac:dyDescent="0.25">
      <c r="A32" s="159" t="s">
        <v>17</v>
      </c>
      <c r="B32" s="102">
        <v>25</v>
      </c>
      <c r="C32" s="103">
        <v>55</v>
      </c>
      <c r="D32" s="104">
        <v>42</v>
      </c>
      <c r="E32" s="103">
        <v>13</v>
      </c>
      <c r="F32" s="104">
        <v>1</v>
      </c>
      <c r="G32" s="105">
        <v>1</v>
      </c>
      <c r="H32" s="106">
        <f t="shared" si="2"/>
        <v>137</v>
      </c>
      <c r="I32" s="121">
        <f t="shared" si="4"/>
        <v>5.5785643055766503</v>
      </c>
      <c r="K32" s="84"/>
      <c r="L32" s="84"/>
      <c r="M32" s="84"/>
      <c r="N32" s="84"/>
      <c r="O32" s="84"/>
      <c r="P32" s="84"/>
      <c r="Q32" s="84"/>
    </row>
    <row r="33" spans="1:17" s="30" customFormat="1" ht="17.100000000000001" customHeight="1" x14ac:dyDescent="0.25">
      <c r="A33" s="159" t="s">
        <v>18</v>
      </c>
      <c r="B33" s="102">
        <v>0</v>
      </c>
      <c r="C33" s="103">
        <v>3</v>
      </c>
      <c r="D33" s="104">
        <v>0</v>
      </c>
      <c r="E33" s="103">
        <v>2</v>
      </c>
      <c r="F33" s="104">
        <v>0</v>
      </c>
      <c r="G33" s="105">
        <v>1</v>
      </c>
      <c r="H33" s="106">
        <f t="shared" si="2"/>
        <v>6</v>
      </c>
      <c r="I33" s="122">
        <f t="shared" si="4"/>
        <v>0.24431668491576572</v>
      </c>
      <c r="K33" s="84"/>
      <c r="L33" s="84"/>
      <c r="M33" s="84"/>
      <c r="N33" s="84"/>
      <c r="O33" s="84"/>
      <c r="P33" s="84"/>
      <c r="Q33" s="84"/>
    </row>
    <row r="34" spans="1:17" s="30" customFormat="1" ht="17.100000000000001" customHeight="1" x14ac:dyDescent="0.25">
      <c r="A34" s="159" t="s">
        <v>19</v>
      </c>
      <c r="B34" s="102">
        <v>29</v>
      </c>
      <c r="C34" s="103">
        <v>80</v>
      </c>
      <c r="D34" s="104">
        <v>75</v>
      </c>
      <c r="E34" s="103">
        <v>24</v>
      </c>
      <c r="F34" s="104">
        <v>1</v>
      </c>
      <c r="G34" s="105">
        <v>1</v>
      </c>
      <c r="H34" s="106">
        <f t="shared" si="2"/>
        <v>210</v>
      </c>
      <c r="I34" s="121">
        <f t="shared" si="4"/>
        <v>8.5510839720517993</v>
      </c>
      <c r="K34" s="84"/>
      <c r="L34" s="84"/>
      <c r="M34" s="84"/>
      <c r="N34" s="84"/>
      <c r="O34" s="84"/>
      <c r="P34" s="84"/>
      <c r="Q34" s="84"/>
    </row>
    <row r="35" spans="1:17" ht="17.100000000000001" customHeight="1" x14ac:dyDescent="0.25">
      <c r="A35" s="159" t="s">
        <v>38</v>
      </c>
      <c r="B35" s="108">
        <v>2</v>
      </c>
      <c r="C35" s="109">
        <v>1</v>
      </c>
      <c r="D35" s="110">
        <v>5</v>
      </c>
      <c r="E35" s="109">
        <v>0</v>
      </c>
      <c r="F35" s="110">
        <v>0</v>
      </c>
      <c r="G35" s="111">
        <v>0</v>
      </c>
      <c r="H35" s="106">
        <f t="shared" si="2"/>
        <v>8</v>
      </c>
      <c r="I35" s="114">
        <f t="shared" si="4"/>
        <v>0.32575557988768766</v>
      </c>
      <c r="K35" s="84"/>
      <c r="L35" s="84"/>
      <c r="M35" s="84"/>
      <c r="N35" s="84"/>
      <c r="O35" s="84"/>
      <c r="P35" s="84"/>
      <c r="Q35" s="84"/>
    </row>
    <row r="36" spans="1:17" s="30" customFormat="1" ht="17.100000000000001" customHeight="1" x14ac:dyDescent="0.25">
      <c r="A36" s="160" t="s">
        <v>20</v>
      </c>
      <c r="B36" s="102">
        <v>10</v>
      </c>
      <c r="C36" s="103">
        <v>22</v>
      </c>
      <c r="D36" s="104">
        <v>20</v>
      </c>
      <c r="E36" s="103">
        <v>2</v>
      </c>
      <c r="F36" s="104">
        <v>0</v>
      </c>
      <c r="G36" s="105">
        <v>0</v>
      </c>
      <c r="H36" s="106">
        <f t="shared" si="2"/>
        <v>54</v>
      </c>
      <c r="I36" s="121">
        <f t="shared" si="4"/>
        <v>2.1988501642418914</v>
      </c>
      <c r="K36" s="84"/>
      <c r="L36" s="84"/>
      <c r="M36" s="84"/>
      <c r="N36" s="84"/>
      <c r="O36" s="84"/>
      <c r="P36" s="84"/>
      <c r="Q36" s="84"/>
    </row>
    <row r="37" spans="1:17" s="30" customFormat="1" ht="17.100000000000001" customHeight="1" x14ac:dyDescent="0.25">
      <c r="A37" s="39" t="s">
        <v>12</v>
      </c>
      <c r="B37" s="40">
        <v>17</v>
      </c>
      <c r="C37" s="41">
        <v>62</v>
      </c>
      <c r="D37" s="42">
        <v>174</v>
      </c>
      <c r="E37" s="41">
        <v>110</v>
      </c>
      <c r="F37" s="42">
        <v>24</v>
      </c>
      <c r="G37" s="43">
        <v>6</v>
      </c>
      <c r="H37" s="44">
        <f t="shared" si="2"/>
        <v>393</v>
      </c>
      <c r="I37" s="76">
        <f t="shared" si="4"/>
        <v>16.002742861982654</v>
      </c>
      <c r="J37" s="37"/>
      <c r="K37" s="84"/>
      <c r="L37" s="84"/>
      <c r="M37" s="84"/>
      <c r="N37" s="84"/>
      <c r="O37" s="84"/>
      <c r="P37" s="84"/>
      <c r="Q37" s="84"/>
    </row>
    <row r="38" spans="1:17" s="30" customFormat="1" ht="17.100000000000001" customHeight="1" x14ac:dyDescent="0.25">
      <c r="A38" s="32" t="s">
        <v>54</v>
      </c>
      <c r="B38" s="33">
        <f>SUM(B39+B45+B46+B47)</f>
        <v>2340</v>
      </c>
      <c r="C38" s="34">
        <f t="shared" ref="C38:H38" si="9">SUM(C39+C45+C46+C47)</f>
        <v>3877</v>
      </c>
      <c r="D38" s="31">
        <f t="shared" si="9"/>
        <v>6075</v>
      </c>
      <c r="E38" s="34">
        <f t="shared" si="9"/>
        <v>3611</v>
      </c>
      <c r="F38" s="31">
        <f t="shared" si="9"/>
        <v>747</v>
      </c>
      <c r="G38" s="35">
        <f t="shared" si="9"/>
        <v>488</v>
      </c>
      <c r="H38" s="36">
        <f t="shared" si="9"/>
        <v>17138</v>
      </c>
      <c r="I38" s="75">
        <f t="shared" si="4"/>
        <v>697.84989101439885</v>
      </c>
      <c r="J38" s="37"/>
      <c r="K38" s="84"/>
      <c r="L38" s="84"/>
      <c r="M38" s="84"/>
      <c r="N38" s="84"/>
      <c r="O38" s="84"/>
      <c r="P38" s="84"/>
      <c r="Q38" s="84"/>
    </row>
    <row r="39" spans="1:17" s="30" customFormat="1" ht="17.100000000000001" customHeight="1" x14ac:dyDescent="0.25">
      <c r="A39" s="159" t="s">
        <v>17</v>
      </c>
      <c r="B39" s="102">
        <f t="shared" ref="B39:G39" si="10">SUM(B40:B44)</f>
        <v>2340</v>
      </c>
      <c r="C39" s="103">
        <f t="shared" si="10"/>
        <v>3874</v>
      </c>
      <c r="D39" s="104">
        <f t="shared" si="10"/>
        <v>6070</v>
      </c>
      <c r="E39" s="103">
        <f t="shared" si="10"/>
        <v>3606</v>
      </c>
      <c r="F39" s="104">
        <f t="shared" si="10"/>
        <v>747</v>
      </c>
      <c r="G39" s="105">
        <f t="shared" si="10"/>
        <v>487</v>
      </c>
      <c r="H39" s="106">
        <f t="shared" si="2"/>
        <v>17124</v>
      </c>
      <c r="I39" s="121">
        <f t="shared" si="4"/>
        <v>697.27981874959528</v>
      </c>
      <c r="K39" s="84"/>
      <c r="L39" s="84"/>
      <c r="M39" s="84"/>
      <c r="N39" s="84"/>
      <c r="O39" s="84"/>
      <c r="P39" s="84"/>
      <c r="Q39" s="84"/>
    </row>
    <row r="40" spans="1:17" s="30" customFormat="1" ht="17.100000000000001" customHeight="1" x14ac:dyDescent="0.25">
      <c r="A40" s="159" t="s">
        <v>24</v>
      </c>
      <c r="B40" s="102">
        <v>1764</v>
      </c>
      <c r="C40" s="103">
        <v>2965</v>
      </c>
      <c r="D40" s="104">
        <v>4671</v>
      </c>
      <c r="E40" s="103">
        <v>2784</v>
      </c>
      <c r="F40" s="104">
        <v>575</v>
      </c>
      <c r="G40" s="105">
        <v>384</v>
      </c>
      <c r="H40" s="106">
        <f t="shared" si="2"/>
        <v>13143</v>
      </c>
      <c r="I40" s="121">
        <f t="shared" si="4"/>
        <v>535.17569830798482</v>
      </c>
      <c r="K40" s="84"/>
      <c r="L40" s="84"/>
      <c r="M40" s="84"/>
      <c r="N40" s="84"/>
      <c r="O40" s="84"/>
      <c r="P40" s="84"/>
      <c r="Q40" s="84"/>
    </row>
    <row r="41" spans="1:17" s="30" customFormat="1" ht="17.100000000000001" customHeight="1" x14ac:dyDescent="0.25">
      <c r="A41" s="159" t="s">
        <v>25</v>
      </c>
      <c r="B41" s="102">
        <v>116</v>
      </c>
      <c r="C41" s="103">
        <v>275</v>
      </c>
      <c r="D41" s="104">
        <v>387</v>
      </c>
      <c r="E41" s="103">
        <v>119</v>
      </c>
      <c r="F41" s="104">
        <v>8</v>
      </c>
      <c r="G41" s="105">
        <v>3</v>
      </c>
      <c r="H41" s="106">
        <f t="shared" si="2"/>
        <v>908</v>
      </c>
      <c r="I41" s="121">
        <f t="shared" si="4"/>
        <v>36.973258317252544</v>
      </c>
      <c r="K41" s="84"/>
      <c r="L41" s="84"/>
      <c r="M41" s="84"/>
      <c r="N41" s="84"/>
      <c r="O41" s="84"/>
      <c r="P41" s="84"/>
      <c r="Q41" s="84"/>
    </row>
    <row r="42" spans="1:17" s="30" customFormat="1" ht="17.100000000000001" customHeight="1" x14ac:dyDescent="0.25">
      <c r="A42" s="159" t="s">
        <v>26</v>
      </c>
      <c r="B42" s="102">
        <v>62</v>
      </c>
      <c r="C42" s="103">
        <v>50</v>
      </c>
      <c r="D42" s="104">
        <v>95</v>
      </c>
      <c r="E42" s="103">
        <v>79</v>
      </c>
      <c r="F42" s="104">
        <v>9</v>
      </c>
      <c r="G42" s="105">
        <v>3</v>
      </c>
      <c r="H42" s="106">
        <f t="shared" si="2"/>
        <v>298</v>
      </c>
      <c r="I42" s="121">
        <f t="shared" si="4"/>
        <v>12.134395350816364</v>
      </c>
      <c r="K42" s="84"/>
      <c r="L42" s="84"/>
      <c r="M42" s="84"/>
      <c r="N42" s="84"/>
      <c r="O42" s="84"/>
      <c r="P42" s="84"/>
      <c r="Q42" s="84"/>
    </row>
    <row r="43" spans="1:17" s="30" customFormat="1" ht="17.100000000000001" customHeight="1" x14ac:dyDescent="0.25">
      <c r="A43" s="159" t="s">
        <v>27</v>
      </c>
      <c r="B43" s="102">
        <v>216</v>
      </c>
      <c r="C43" s="103">
        <v>131</v>
      </c>
      <c r="D43" s="104">
        <v>223</v>
      </c>
      <c r="E43" s="103">
        <v>213</v>
      </c>
      <c r="F43" s="104">
        <v>70</v>
      </c>
      <c r="G43" s="105">
        <v>44</v>
      </c>
      <c r="H43" s="106">
        <f t="shared" si="2"/>
        <v>897</v>
      </c>
      <c r="I43" s="121">
        <f t="shared" si="4"/>
        <v>36.525344394906973</v>
      </c>
      <c r="K43" s="84"/>
      <c r="L43" s="84"/>
      <c r="M43" s="84"/>
      <c r="N43" s="84"/>
      <c r="O43" s="84"/>
      <c r="P43" s="84"/>
      <c r="Q43" s="84"/>
    </row>
    <row r="44" spans="1:17" s="30" customFormat="1" ht="17.100000000000001" customHeight="1" x14ac:dyDescent="0.25">
      <c r="A44" s="159" t="s">
        <v>28</v>
      </c>
      <c r="B44" s="102">
        <v>182</v>
      </c>
      <c r="C44" s="103">
        <v>453</v>
      </c>
      <c r="D44" s="104">
        <v>694</v>
      </c>
      <c r="E44" s="103">
        <v>411</v>
      </c>
      <c r="F44" s="104">
        <v>85</v>
      </c>
      <c r="G44" s="105">
        <v>53</v>
      </c>
      <c r="H44" s="106">
        <f t="shared" si="2"/>
        <v>1878</v>
      </c>
      <c r="I44" s="121">
        <f t="shared" si="4"/>
        <v>76.471122378634675</v>
      </c>
      <c r="K44" s="84"/>
      <c r="L44" s="84"/>
      <c r="M44" s="84"/>
      <c r="N44" s="84"/>
      <c r="O44" s="84"/>
      <c r="P44" s="84"/>
      <c r="Q44" s="84"/>
    </row>
    <row r="45" spans="1:17" ht="17.100000000000001" customHeight="1" x14ac:dyDescent="0.25">
      <c r="A45" s="159" t="s">
        <v>18</v>
      </c>
      <c r="B45" s="102">
        <v>0</v>
      </c>
      <c r="C45" s="103">
        <v>0</v>
      </c>
      <c r="D45" s="104">
        <v>0</v>
      </c>
      <c r="E45" s="103">
        <v>0</v>
      </c>
      <c r="F45" s="104">
        <v>0</v>
      </c>
      <c r="G45" s="105">
        <v>0</v>
      </c>
      <c r="H45" s="106">
        <f t="shared" si="2"/>
        <v>0</v>
      </c>
      <c r="I45" s="121">
        <f t="shared" si="4"/>
        <v>0</v>
      </c>
      <c r="J45" s="30"/>
      <c r="K45" s="84"/>
      <c r="L45" s="84"/>
      <c r="M45" s="84"/>
      <c r="N45" s="84"/>
      <c r="O45" s="84"/>
      <c r="P45" s="84"/>
      <c r="Q45" s="84"/>
    </row>
    <row r="46" spans="1:17" ht="17.100000000000001" customHeight="1" x14ac:dyDescent="0.25">
      <c r="A46" s="159" t="s">
        <v>19</v>
      </c>
      <c r="B46" s="133">
        <v>0</v>
      </c>
      <c r="C46" s="134">
        <v>2</v>
      </c>
      <c r="D46" s="135">
        <v>2</v>
      </c>
      <c r="E46" s="134">
        <v>4</v>
      </c>
      <c r="F46" s="135">
        <v>0</v>
      </c>
      <c r="G46" s="136">
        <v>0</v>
      </c>
      <c r="H46" s="106">
        <f>SUM(B46:G46)</f>
        <v>8</v>
      </c>
      <c r="I46" s="122">
        <f t="shared" si="4"/>
        <v>0.32575557988768766</v>
      </c>
      <c r="J46" s="30"/>
      <c r="K46" s="84"/>
      <c r="L46" s="84"/>
      <c r="M46" s="84"/>
      <c r="N46" s="84"/>
      <c r="O46" s="84"/>
      <c r="P46" s="84"/>
      <c r="Q46" s="84"/>
    </row>
    <row r="47" spans="1:17" ht="17.100000000000001" customHeight="1" x14ac:dyDescent="0.25">
      <c r="A47" s="163" t="s">
        <v>21</v>
      </c>
      <c r="B47" s="137">
        <v>0</v>
      </c>
      <c r="C47" s="138">
        <v>1</v>
      </c>
      <c r="D47" s="139">
        <v>3</v>
      </c>
      <c r="E47" s="138">
        <v>1</v>
      </c>
      <c r="F47" s="139">
        <v>0</v>
      </c>
      <c r="G47" s="140">
        <v>1</v>
      </c>
      <c r="H47" s="141">
        <f>SUM(B47:G47)</f>
        <v>6</v>
      </c>
      <c r="I47" s="152">
        <f t="shared" ref="I47:I78" si="11">H47/B$83 * 100000</f>
        <v>0.24431668491576572</v>
      </c>
      <c r="K47" s="84"/>
      <c r="L47" s="84"/>
      <c r="M47" s="84"/>
      <c r="N47" s="84"/>
      <c r="O47" s="84"/>
      <c r="P47" s="84"/>
      <c r="Q47" s="84"/>
    </row>
    <row r="48" spans="1:17" s="37" customFormat="1" ht="17.100000000000001" customHeight="1" x14ac:dyDescent="0.25">
      <c r="A48" s="39" t="s">
        <v>32</v>
      </c>
      <c r="B48" s="40">
        <v>729</v>
      </c>
      <c r="C48" s="41">
        <v>126</v>
      </c>
      <c r="D48" s="42">
        <v>339</v>
      </c>
      <c r="E48" s="41">
        <v>225</v>
      </c>
      <c r="F48" s="42">
        <v>27</v>
      </c>
      <c r="G48" s="43">
        <v>11</v>
      </c>
      <c r="H48" s="44">
        <f t="shared" si="2"/>
        <v>1457</v>
      </c>
      <c r="I48" s="76">
        <f t="shared" si="11"/>
        <v>59.328234987045107</v>
      </c>
      <c r="K48" s="84"/>
      <c r="L48" s="84"/>
      <c r="M48" s="84"/>
      <c r="N48" s="84"/>
      <c r="O48" s="84"/>
      <c r="P48" s="84"/>
      <c r="Q48" s="84"/>
    </row>
    <row r="49" spans="1:18" s="30" customFormat="1" ht="17.100000000000001" customHeight="1" x14ac:dyDescent="0.25">
      <c r="A49" s="39" t="s">
        <v>33</v>
      </c>
      <c r="B49" s="40">
        <v>21</v>
      </c>
      <c r="C49" s="41">
        <v>12</v>
      </c>
      <c r="D49" s="42">
        <v>21</v>
      </c>
      <c r="E49" s="41">
        <v>17</v>
      </c>
      <c r="F49" s="42">
        <v>6</v>
      </c>
      <c r="G49" s="43">
        <v>4</v>
      </c>
      <c r="H49" s="44">
        <f t="shared" si="2"/>
        <v>81</v>
      </c>
      <c r="I49" s="76">
        <f t="shared" si="11"/>
        <v>3.2982752463628371</v>
      </c>
      <c r="J49" s="37"/>
      <c r="K49" s="84"/>
      <c r="L49" s="84"/>
      <c r="M49" s="84"/>
      <c r="N49" s="84"/>
      <c r="O49" s="84"/>
      <c r="P49" s="84"/>
      <c r="Q49" s="84"/>
    </row>
    <row r="50" spans="1:18" s="30" customFormat="1" ht="17.100000000000001" customHeight="1" x14ac:dyDescent="0.25">
      <c r="A50" s="32" t="s">
        <v>47</v>
      </c>
      <c r="B50" s="33">
        <f t="shared" ref="B50:G50" si="12">SUM(B51:B54)</f>
        <v>212</v>
      </c>
      <c r="C50" s="34">
        <f t="shared" si="12"/>
        <v>139</v>
      </c>
      <c r="D50" s="31">
        <f t="shared" si="12"/>
        <v>243</v>
      </c>
      <c r="E50" s="34">
        <f t="shared" si="12"/>
        <v>105</v>
      </c>
      <c r="F50" s="31">
        <f t="shared" si="12"/>
        <v>15</v>
      </c>
      <c r="G50" s="35">
        <f t="shared" si="12"/>
        <v>14</v>
      </c>
      <c r="H50" s="36">
        <f t="shared" si="2"/>
        <v>728</v>
      </c>
      <c r="I50" s="75">
        <f t="shared" si="11"/>
        <v>29.643757769779572</v>
      </c>
      <c r="J50" s="37"/>
      <c r="K50" s="84"/>
      <c r="L50" s="84"/>
      <c r="M50" s="84"/>
      <c r="N50" s="84"/>
      <c r="O50" s="84"/>
      <c r="P50" s="84"/>
      <c r="Q50" s="84"/>
    </row>
    <row r="51" spans="1:18" s="30" customFormat="1" ht="17.100000000000001" customHeight="1" x14ac:dyDescent="0.25">
      <c r="A51" s="159" t="s">
        <v>17</v>
      </c>
      <c r="B51" s="102">
        <v>212</v>
      </c>
      <c r="C51" s="103">
        <v>139</v>
      </c>
      <c r="D51" s="104">
        <v>243</v>
      </c>
      <c r="E51" s="103">
        <v>105</v>
      </c>
      <c r="F51" s="104">
        <v>15</v>
      </c>
      <c r="G51" s="105">
        <v>14</v>
      </c>
      <c r="H51" s="106">
        <f t="shared" si="2"/>
        <v>728</v>
      </c>
      <c r="I51" s="121">
        <f t="shared" si="11"/>
        <v>29.643757769779572</v>
      </c>
      <c r="K51" s="84"/>
      <c r="L51" s="84"/>
      <c r="M51" s="84"/>
      <c r="N51" s="84"/>
      <c r="O51" s="84"/>
      <c r="P51" s="84"/>
      <c r="Q51" s="84"/>
    </row>
    <row r="52" spans="1:18" s="30" customFormat="1" ht="17.100000000000001" customHeight="1" x14ac:dyDescent="0.25">
      <c r="A52" s="160" t="s">
        <v>18</v>
      </c>
      <c r="B52" s="108">
        <v>0</v>
      </c>
      <c r="C52" s="109">
        <v>0</v>
      </c>
      <c r="D52" s="110">
        <v>0</v>
      </c>
      <c r="E52" s="109">
        <v>0</v>
      </c>
      <c r="F52" s="110">
        <v>0</v>
      </c>
      <c r="G52" s="111">
        <v>0</v>
      </c>
      <c r="H52" s="112">
        <f t="shared" si="2"/>
        <v>0</v>
      </c>
      <c r="I52" s="143">
        <f t="shared" si="11"/>
        <v>0</v>
      </c>
      <c r="J52" s="1"/>
      <c r="K52" s="84"/>
      <c r="L52" s="84"/>
      <c r="M52" s="84"/>
      <c r="N52" s="84"/>
      <c r="O52" s="84"/>
      <c r="P52" s="84"/>
      <c r="Q52" s="84"/>
    </row>
    <row r="53" spans="1:18" s="30" customFormat="1" ht="17.100000000000001" customHeight="1" x14ac:dyDescent="0.25">
      <c r="A53" s="159" t="s">
        <v>19</v>
      </c>
      <c r="B53" s="108">
        <v>0</v>
      </c>
      <c r="C53" s="109">
        <v>0</v>
      </c>
      <c r="D53" s="110">
        <v>0</v>
      </c>
      <c r="E53" s="109">
        <v>0</v>
      </c>
      <c r="F53" s="110">
        <v>0</v>
      </c>
      <c r="G53" s="111">
        <v>0</v>
      </c>
      <c r="H53" s="112">
        <f t="shared" si="2"/>
        <v>0</v>
      </c>
      <c r="I53" s="143">
        <f t="shared" si="11"/>
        <v>0</v>
      </c>
      <c r="J53" s="1"/>
      <c r="K53" s="84"/>
      <c r="L53" s="84"/>
      <c r="M53" s="84"/>
      <c r="N53" s="84"/>
      <c r="O53" s="84"/>
      <c r="P53" s="84"/>
      <c r="Q53" s="84"/>
    </row>
    <row r="54" spans="1:18" s="37" customFormat="1" ht="17.100000000000001" customHeight="1" x14ac:dyDescent="0.25">
      <c r="A54" s="164" t="s">
        <v>20</v>
      </c>
      <c r="B54" s="144">
        <v>0</v>
      </c>
      <c r="C54" s="116">
        <v>0</v>
      </c>
      <c r="D54" s="116">
        <v>0</v>
      </c>
      <c r="E54" s="116">
        <v>0</v>
      </c>
      <c r="F54" s="116">
        <v>0</v>
      </c>
      <c r="G54" s="118">
        <v>0</v>
      </c>
      <c r="H54" s="119">
        <f t="shared" si="2"/>
        <v>0</v>
      </c>
      <c r="I54" s="123">
        <f t="shared" si="11"/>
        <v>0</v>
      </c>
      <c r="J54" s="1"/>
      <c r="K54" s="84"/>
      <c r="L54" s="84"/>
      <c r="M54" s="84"/>
      <c r="N54" s="84"/>
      <c r="O54" s="84"/>
      <c r="P54" s="84"/>
      <c r="Q54" s="84"/>
    </row>
    <row r="55" spans="1:18" s="37" customFormat="1" ht="17.100000000000001" customHeight="1" x14ac:dyDescent="0.25">
      <c r="A55" s="45" t="s">
        <v>46</v>
      </c>
      <c r="B55" s="46">
        <f t="shared" ref="B55:G55" si="13">SUM(B56:B58)</f>
        <v>2711</v>
      </c>
      <c r="C55" s="47">
        <f t="shared" si="13"/>
        <v>484</v>
      </c>
      <c r="D55" s="48">
        <f t="shared" si="13"/>
        <v>1120</v>
      </c>
      <c r="E55" s="47">
        <f t="shared" si="13"/>
        <v>892</v>
      </c>
      <c r="F55" s="48">
        <f t="shared" si="13"/>
        <v>213</v>
      </c>
      <c r="G55" s="49">
        <f t="shared" si="13"/>
        <v>178</v>
      </c>
      <c r="H55" s="50">
        <f>SUM(B55:G55)</f>
        <v>5598</v>
      </c>
      <c r="I55" s="61">
        <f t="shared" si="11"/>
        <v>227.94746702640944</v>
      </c>
      <c r="K55" s="84"/>
      <c r="L55" s="84"/>
      <c r="M55" s="84"/>
      <c r="N55" s="84"/>
      <c r="O55" s="84"/>
      <c r="P55" s="84"/>
      <c r="Q55" s="84"/>
    </row>
    <row r="56" spans="1:18" s="30" customFormat="1" ht="17.100000000000001" customHeight="1" x14ac:dyDescent="0.25">
      <c r="A56" s="159" t="s">
        <v>30</v>
      </c>
      <c r="B56" s="78">
        <v>2635</v>
      </c>
      <c r="C56" s="79">
        <v>461</v>
      </c>
      <c r="D56" s="80">
        <v>1056</v>
      </c>
      <c r="E56" s="79">
        <v>850</v>
      </c>
      <c r="F56" s="80">
        <v>206</v>
      </c>
      <c r="G56" s="81">
        <v>169</v>
      </c>
      <c r="H56" s="82">
        <f>SUM(B56:G56)</f>
        <v>5377</v>
      </c>
      <c r="I56" s="83">
        <f t="shared" si="11"/>
        <v>218.94846913201204</v>
      </c>
      <c r="J56" s="37"/>
      <c r="K56" s="84"/>
      <c r="L56" s="84"/>
      <c r="M56" s="84"/>
      <c r="N56" s="84"/>
      <c r="O56" s="84"/>
      <c r="P56" s="84"/>
      <c r="Q56" s="84"/>
    </row>
    <row r="57" spans="1:18" s="30" customFormat="1" ht="17.100000000000001" customHeight="1" x14ac:dyDescent="0.25">
      <c r="A57" s="159" t="s">
        <v>31</v>
      </c>
      <c r="B57" s="102">
        <v>76</v>
      </c>
      <c r="C57" s="103">
        <v>23</v>
      </c>
      <c r="D57" s="104">
        <v>64</v>
      </c>
      <c r="E57" s="103">
        <v>42</v>
      </c>
      <c r="F57" s="104">
        <v>7</v>
      </c>
      <c r="G57" s="105">
        <v>9</v>
      </c>
      <c r="H57" s="106">
        <f>SUM(B57:G57)</f>
        <v>221</v>
      </c>
      <c r="I57" s="121">
        <f t="shared" si="11"/>
        <v>8.9989978943973696</v>
      </c>
      <c r="K57" s="84"/>
      <c r="L57" s="84"/>
      <c r="M57" s="84"/>
      <c r="N57" s="84"/>
      <c r="O57" s="84"/>
      <c r="P57" s="84"/>
      <c r="Q57" s="84"/>
    </row>
    <row r="58" spans="1:18" s="30" customFormat="1" ht="17.100000000000001" customHeight="1" x14ac:dyDescent="0.25">
      <c r="A58" s="159" t="s">
        <v>29</v>
      </c>
      <c r="B58" s="102">
        <v>0</v>
      </c>
      <c r="C58" s="103">
        <v>0</v>
      </c>
      <c r="D58" s="104">
        <v>0</v>
      </c>
      <c r="E58" s="103">
        <v>0</v>
      </c>
      <c r="F58" s="104">
        <v>0</v>
      </c>
      <c r="G58" s="105">
        <v>0</v>
      </c>
      <c r="H58" s="106">
        <f>SUM(B58:G58)</f>
        <v>0</v>
      </c>
      <c r="I58" s="121">
        <f t="shared" si="11"/>
        <v>0</v>
      </c>
      <c r="K58" s="84"/>
      <c r="L58" s="84"/>
      <c r="M58" s="84"/>
      <c r="N58" s="84"/>
      <c r="O58" s="84"/>
      <c r="P58" s="84"/>
      <c r="Q58" s="84"/>
    </row>
    <row r="59" spans="1:18" s="30" customFormat="1" ht="17.100000000000001" customHeight="1" x14ac:dyDescent="0.25">
      <c r="A59" s="39" t="s">
        <v>11</v>
      </c>
      <c r="B59" s="40">
        <v>3757</v>
      </c>
      <c r="C59" s="41">
        <v>1540</v>
      </c>
      <c r="D59" s="42">
        <v>3896</v>
      </c>
      <c r="E59" s="41">
        <v>2291</v>
      </c>
      <c r="F59" s="42">
        <v>430</v>
      </c>
      <c r="G59" s="43">
        <v>265</v>
      </c>
      <c r="H59" s="44">
        <f>SUM(B59:G59)</f>
        <v>12179</v>
      </c>
      <c r="I59" s="76">
        <f t="shared" si="11"/>
        <v>495.92215093151844</v>
      </c>
      <c r="J59" s="37"/>
      <c r="K59" s="84"/>
      <c r="L59" s="84"/>
      <c r="M59" s="84"/>
      <c r="N59" s="84"/>
      <c r="O59" s="84"/>
      <c r="P59" s="84"/>
      <c r="Q59" s="84"/>
    </row>
    <row r="60" spans="1:18" s="30" customFormat="1" ht="17.100000000000001" customHeight="1" x14ac:dyDescent="0.25">
      <c r="A60" s="32" t="s">
        <v>45</v>
      </c>
      <c r="B60" s="33">
        <f t="shared" ref="B60:G60" si="14">SUM(B61+B66)</f>
        <v>855</v>
      </c>
      <c r="C60" s="47">
        <f t="shared" si="14"/>
        <v>294</v>
      </c>
      <c r="D60" s="31">
        <f t="shared" si="14"/>
        <v>568</v>
      </c>
      <c r="E60" s="34">
        <f t="shared" si="14"/>
        <v>329</v>
      </c>
      <c r="F60" s="31">
        <f t="shared" si="14"/>
        <v>50</v>
      </c>
      <c r="G60" s="35">
        <f t="shared" si="14"/>
        <v>66</v>
      </c>
      <c r="H60" s="36">
        <f t="shared" si="2"/>
        <v>2162</v>
      </c>
      <c r="I60" s="75">
        <f t="shared" si="11"/>
        <v>88.03544546464758</v>
      </c>
      <c r="J60" s="37"/>
      <c r="K60" s="84"/>
      <c r="L60" s="84"/>
      <c r="M60" s="84"/>
      <c r="N60" s="84"/>
      <c r="O60" s="84"/>
      <c r="P60" s="84"/>
      <c r="Q60" s="84"/>
    </row>
    <row r="61" spans="1:18" s="30" customFormat="1" ht="17.100000000000001" customHeight="1" x14ac:dyDescent="0.25">
      <c r="A61" s="51" t="s">
        <v>44</v>
      </c>
      <c r="B61" s="52">
        <f t="shared" ref="B61:G61" si="15">SUM(B62:B65)</f>
        <v>621</v>
      </c>
      <c r="C61" s="53">
        <f t="shared" si="15"/>
        <v>228</v>
      </c>
      <c r="D61" s="54">
        <f t="shared" si="15"/>
        <v>389</v>
      </c>
      <c r="E61" s="53">
        <f t="shared" si="15"/>
        <v>222</v>
      </c>
      <c r="F61" s="54">
        <f t="shared" si="15"/>
        <v>36</v>
      </c>
      <c r="G61" s="55">
        <f t="shared" si="15"/>
        <v>44</v>
      </c>
      <c r="H61" s="56">
        <f t="shared" si="2"/>
        <v>1540</v>
      </c>
      <c r="I61" s="77">
        <f t="shared" si="11"/>
        <v>62.707949128379866</v>
      </c>
      <c r="K61" s="84"/>
      <c r="L61" s="84"/>
      <c r="M61" s="84"/>
      <c r="N61" s="84"/>
      <c r="O61" s="84"/>
      <c r="P61" s="84"/>
      <c r="Q61" s="84"/>
      <c r="R61" s="95"/>
    </row>
    <row r="62" spans="1:18" s="30" customFormat="1" ht="17.100000000000001" customHeight="1" x14ac:dyDescent="0.25">
      <c r="A62" s="159" t="s">
        <v>1</v>
      </c>
      <c r="B62" s="145">
        <v>450</v>
      </c>
      <c r="C62" s="146">
        <v>69</v>
      </c>
      <c r="D62" s="147">
        <v>115</v>
      </c>
      <c r="E62" s="148">
        <v>87</v>
      </c>
      <c r="F62" s="147">
        <v>30</v>
      </c>
      <c r="G62" s="149">
        <v>38</v>
      </c>
      <c r="H62" s="106">
        <f t="shared" si="2"/>
        <v>789</v>
      </c>
      <c r="I62" s="121">
        <f t="shared" si="11"/>
        <v>32.127644066423187</v>
      </c>
      <c r="K62" s="88"/>
      <c r="L62" s="88"/>
      <c r="M62" s="88"/>
      <c r="N62" s="88"/>
      <c r="O62" s="88"/>
      <c r="P62" s="88"/>
      <c r="Q62" s="88"/>
      <c r="R62" s="95"/>
    </row>
    <row r="63" spans="1:18" s="30" customFormat="1" ht="17.100000000000001" customHeight="1" x14ac:dyDescent="0.25">
      <c r="A63" s="159" t="s">
        <v>22</v>
      </c>
      <c r="B63" s="102">
        <v>102</v>
      </c>
      <c r="C63" s="103">
        <v>105</v>
      </c>
      <c r="D63" s="104">
        <v>193</v>
      </c>
      <c r="E63" s="103">
        <v>97</v>
      </c>
      <c r="F63" s="104">
        <v>5</v>
      </c>
      <c r="G63" s="105">
        <v>1</v>
      </c>
      <c r="H63" s="106">
        <f t="shared" si="2"/>
        <v>503</v>
      </c>
      <c r="I63" s="121">
        <f t="shared" si="11"/>
        <v>20.481882085438361</v>
      </c>
      <c r="K63" s="88"/>
      <c r="L63" s="88"/>
      <c r="M63" s="88"/>
      <c r="N63" s="88"/>
      <c r="O63" s="88"/>
      <c r="P63" s="88"/>
      <c r="Q63" s="88"/>
      <c r="R63" s="95"/>
    </row>
    <row r="64" spans="1:18" ht="17.100000000000001" customHeight="1" x14ac:dyDescent="0.25">
      <c r="A64" s="159" t="s">
        <v>23</v>
      </c>
      <c r="B64" s="102">
        <v>0</v>
      </c>
      <c r="C64" s="103">
        <v>0</v>
      </c>
      <c r="D64" s="104">
        <v>1</v>
      </c>
      <c r="E64" s="103">
        <v>0</v>
      </c>
      <c r="F64" s="104">
        <v>0</v>
      </c>
      <c r="G64" s="105">
        <v>0</v>
      </c>
      <c r="H64" s="106">
        <f>SUM(B64:G64)</f>
        <v>1</v>
      </c>
      <c r="I64" s="122">
        <f t="shared" si="11"/>
        <v>4.0719447485960958E-2</v>
      </c>
      <c r="J64" s="30"/>
      <c r="K64" s="88"/>
      <c r="L64" s="88"/>
      <c r="M64" s="88"/>
      <c r="N64" s="88"/>
      <c r="O64" s="88"/>
      <c r="P64" s="88"/>
      <c r="Q64" s="88"/>
      <c r="R64" s="19"/>
    </row>
    <row r="65" spans="1:18" s="37" customFormat="1" ht="17.100000000000001" customHeight="1" x14ac:dyDescent="0.25">
      <c r="A65" s="165" t="s">
        <v>2</v>
      </c>
      <c r="B65" s="145">
        <v>69</v>
      </c>
      <c r="C65" s="148">
        <v>54</v>
      </c>
      <c r="D65" s="147">
        <v>80</v>
      </c>
      <c r="E65" s="148">
        <v>38</v>
      </c>
      <c r="F65" s="147">
        <v>1</v>
      </c>
      <c r="G65" s="149">
        <v>5</v>
      </c>
      <c r="H65" s="106">
        <f t="shared" si="2"/>
        <v>247</v>
      </c>
      <c r="I65" s="121">
        <f t="shared" si="11"/>
        <v>10.057703529032356</v>
      </c>
      <c r="J65" s="30"/>
      <c r="K65" s="88"/>
      <c r="L65" s="88"/>
      <c r="M65" s="88"/>
      <c r="N65" s="88"/>
      <c r="O65" s="88"/>
      <c r="P65" s="88"/>
      <c r="Q65" s="88"/>
      <c r="R65" s="96"/>
    </row>
    <row r="66" spans="1:18" s="37" customFormat="1" ht="17.100000000000001" customHeight="1" x14ac:dyDescent="0.25">
      <c r="A66" s="51" t="s">
        <v>43</v>
      </c>
      <c r="B66" s="52">
        <f t="shared" ref="B66:G66" si="16">SUM(B67:B71)</f>
        <v>234</v>
      </c>
      <c r="C66" s="53">
        <f t="shared" si="16"/>
        <v>66</v>
      </c>
      <c r="D66" s="54">
        <f t="shared" si="16"/>
        <v>179</v>
      </c>
      <c r="E66" s="53">
        <f t="shared" si="16"/>
        <v>107</v>
      </c>
      <c r="F66" s="54">
        <f t="shared" si="16"/>
        <v>14</v>
      </c>
      <c r="G66" s="55">
        <f t="shared" si="16"/>
        <v>22</v>
      </c>
      <c r="H66" s="56">
        <f t="shared" si="2"/>
        <v>622</v>
      </c>
      <c r="I66" s="77">
        <f t="shared" si="11"/>
        <v>25.327496336267711</v>
      </c>
      <c r="J66" s="30"/>
      <c r="K66" s="88"/>
      <c r="L66" s="88"/>
      <c r="M66" s="88"/>
      <c r="N66" s="88"/>
      <c r="O66" s="88"/>
      <c r="P66" s="88"/>
      <c r="Q66" s="88"/>
      <c r="R66" s="96"/>
    </row>
    <row r="67" spans="1:18" s="37" customFormat="1" ht="17.100000000000001" customHeight="1" x14ac:dyDescent="0.25">
      <c r="A67" s="159" t="s">
        <v>1</v>
      </c>
      <c r="B67" s="145">
        <v>206</v>
      </c>
      <c r="C67" s="148">
        <v>45</v>
      </c>
      <c r="D67" s="147">
        <v>125</v>
      </c>
      <c r="E67" s="148">
        <v>82</v>
      </c>
      <c r="F67" s="147">
        <v>9</v>
      </c>
      <c r="G67" s="149">
        <v>16</v>
      </c>
      <c r="H67" s="106">
        <f t="shared" si="2"/>
        <v>483</v>
      </c>
      <c r="I67" s="121">
        <f t="shared" si="11"/>
        <v>19.667493135719141</v>
      </c>
      <c r="J67" s="30"/>
      <c r="K67" s="89"/>
      <c r="L67" s="89"/>
      <c r="M67" s="89"/>
      <c r="N67" s="89"/>
      <c r="O67" s="89"/>
      <c r="P67" s="89"/>
      <c r="Q67" s="89"/>
      <c r="R67" s="96"/>
    </row>
    <row r="68" spans="1:18" s="30" customFormat="1" ht="17.100000000000001" customHeight="1" x14ac:dyDescent="0.25">
      <c r="A68" s="159" t="s">
        <v>22</v>
      </c>
      <c r="B68" s="102">
        <v>8</v>
      </c>
      <c r="C68" s="103">
        <v>9</v>
      </c>
      <c r="D68" s="104">
        <v>16</v>
      </c>
      <c r="E68" s="103">
        <v>8</v>
      </c>
      <c r="F68" s="104">
        <v>0</v>
      </c>
      <c r="G68" s="105">
        <v>0</v>
      </c>
      <c r="H68" s="131">
        <f t="shared" si="2"/>
        <v>41</v>
      </c>
      <c r="I68" s="150">
        <f t="shared" si="11"/>
        <v>1.669497346924399</v>
      </c>
      <c r="K68" s="89"/>
      <c r="L68" s="89"/>
      <c r="M68" s="89"/>
      <c r="N68" s="89"/>
      <c r="O68" s="89"/>
      <c r="P68" s="89"/>
      <c r="Q68" s="89"/>
      <c r="R68" s="95"/>
    </row>
    <row r="69" spans="1:18" ht="17.100000000000001" customHeight="1" x14ac:dyDescent="0.25">
      <c r="A69" s="159" t="s">
        <v>23</v>
      </c>
      <c r="B69" s="102">
        <v>1</v>
      </c>
      <c r="C69" s="103">
        <v>0</v>
      </c>
      <c r="D69" s="104">
        <v>1</v>
      </c>
      <c r="E69" s="103">
        <v>0</v>
      </c>
      <c r="F69" s="104">
        <v>0</v>
      </c>
      <c r="G69" s="105">
        <v>0</v>
      </c>
      <c r="H69" s="131">
        <f>SUM(B69:G69)</f>
        <v>2</v>
      </c>
      <c r="I69" s="132">
        <f t="shared" si="11"/>
        <v>8.1438894971921916E-2</v>
      </c>
      <c r="J69" s="30"/>
      <c r="K69" s="89"/>
      <c r="L69" s="89"/>
      <c r="M69" s="89"/>
      <c r="N69" s="89"/>
      <c r="O69" s="89"/>
      <c r="P69" s="89"/>
      <c r="Q69" s="89"/>
      <c r="R69" s="19"/>
    </row>
    <row r="70" spans="1:18" ht="17.100000000000001" customHeight="1" x14ac:dyDescent="0.25">
      <c r="A70" s="159" t="s">
        <v>39</v>
      </c>
      <c r="B70" s="108">
        <v>1</v>
      </c>
      <c r="C70" s="109">
        <v>0</v>
      </c>
      <c r="D70" s="110">
        <v>0</v>
      </c>
      <c r="E70" s="109">
        <v>0</v>
      </c>
      <c r="F70" s="110">
        <v>0</v>
      </c>
      <c r="G70" s="111">
        <v>0</v>
      </c>
      <c r="H70" s="106">
        <f>SUM(B70:G70)</f>
        <v>1</v>
      </c>
      <c r="I70" s="114">
        <f t="shared" si="11"/>
        <v>4.0719447485960958E-2</v>
      </c>
      <c r="K70" s="84"/>
      <c r="L70" s="84"/>
      <c r="M70" s="84"/>
      <c r="N70" s="84"/>
      <c r="O70" s="84"/>
      <c r="P70" s="84"/>
      <c r="Q70" s="84"/>
    </row>
    <row r="71" spans="1:18" ht="17.100000000000001" customHeight="1" x14ac:dyDescent="0.25">
      <c r="A71" s="165" t="s">
        <v>2</v>
      </c>
      <c r="B71" s="145">
        <v>18</v>
      </c>
      <c r="C71" s="148">
        <v>12</v>
      </c>
      <c r="D71" s="147">
        <v>37</v>
      </c>
      <c r="E71" s="148">
        <v>17</v>
      </c>
      <c r="F71" s="147">
        <v>5</v>
      </c>
      <c r="G71" s="149">
        <v>6</v>
      </c>
      <c r="H71" s="106">
        <f>SUM(B71:G71)</f>
        <v>95</v>
      </c>
      <c r="I71" s="121">
        <f t="shared" si="11"/>
        <v>3.8683475111662906</v>
      </c>
      <c r="J71" s="30"/>
      <c r="K71" s="89"/>
      <c r="L71" s="89"/>
      <c r="M71" s="89"/>
      <c r="N71" s="89"/>
      <c r="O71" s="89"/>
      <c r="P71" s="89"/>
      <c r="Q71" s="89"/>
      <c r="R71" s="19"/>
    </row>
    <row r="72" spans="1:18" ht="17.100000000000001" customHeight="1" x14ac:dyDescent="0.25">
      <c r="A72" s="32" t="s">
        <v>42</v>
      </c>
      <c r="B72" s="33">
        <f t="shared" ref="B72:G72" si="17">SUM(B73:B77)</f>
        <v>9767</v>
      </c>
      <c r="C72" s="34">
        <f t="shared" si="17"/>
        <v>2931</v>
      </c>
      <c r="D72" s="31">
        <f t="shared" si="17"/>
        <v>5180</v>
      </c>
      <c r="E72" s="34">
        <f t="shared" si="17"/>
        <v>2577</v>
      </c>
      <c r="F72" s="31">
        <f t="shared" si="17"/>
        <v>466</v>
      </c>
      <c r="G72" s="35">
        <f t="shared" si="17"/>
        <v>424</v>
      </c>
      <c r="H72" s="36">
        <f t="shared" ref="H72:H82" si="18">SUM(B72:G72)</f>
        <v>21345</v>
      </c>
      <c r="I72" s="75">
        <f t="shared" si="11"/>
        <v>869.15660658783645</v>
      </c>
      <c r="J72" s="37"/>
      <c r="K72" s="89"/>
      <c r="L72" s="89"/>
      <c r="M72" s="89"/>
      <c r="N72" s="89"/>
      <c r="O72" s="89"/>
      <c r="P72" s="89"/>
      <c r="Q72" s="89"/>
      <c r="R72" s="19"/>
    </row>
    <row r="73" spans="1:18" s="37" customFormat="1" ht="17.100000000000001" customHeight="1" x14ac:dyDescent="0.25">
      <c r="A73" s="159" t="s">
        <v>1</v>
      </c>
      <c r="B73" s="145">
        <v>9157</v>
      </c>
      <c r="C73" s="148">
        <v>2094</v>
      </c>
      <c r="D73" s="147">
        <v>3834</v>
      </c>
      <c r="E73" s="148">
        <v>2089</v>
      </c>
      <c r="F73" s="147">
        <v>428</v>
      </c>
      <c r="G73" s="149">
        <v>410</v>
      </c>
      <c r="H73" s="106">
        <f t="shared" si="18"/>
        <v>18012</v>
      </c>
      <c r="I73" s="121">
        <f t="shared" si="11"/>
        <v>733.43868811712866</v>
      </c>
      <c r="J73" s="30"/>
      <c r="R73" s="96"/>
    </row>
    <row r="74" spans="1:18" s="30" customFormat="1" ht="17.100000000000001" customHeight="1" x14ac:dyDescent="0.25">
      <c r="A74" s="159" t="s">
        <v>22</v>
      </c>
      <c r="B74" s="102">
        <v>0</v>
      </c>
      <c r="C74" s="103">
        <v>0</v>
      </c>
      <c r="D74" s="104">
        <v>0</v>
      </c>
      <c r="E74" s="103">
        <v>0</v>
      </c>
      <c r="F74" s="104">
        <v>0</v>
      </c>
      <c r="G74" s="105">
        <v>0</v>
      </c>
      <c r="H74" s="106">
        <f t="shared" si="18"/>
        <v>0</v>
      </c>
      <c r="I74" s="121">
        <f t="shared" si="11"/>
        <v>0</v>
      </c>
      <c r="R74" s="95"/>
    </row>
    <row r="75" spans="1:18" s="30" customFormat="1" ht="17.100000000000001" customHeight="1" x14ac:dyDescent="0.25">
      <c r="A75" s="159" t="s">
        <v>23</v>
      </c>
      <c r="B75" s="145">
        <v>565</v>
      </c>
      <c r="C75" s="148">
        <v>790</v>
      </c>
      <c r="D75" s="147">
        <v>1239</v>
      </c>
      <c r="E75" s="148">
        <v>463</v>
      </c>
      <c r="F75" s="147">
        <v>37</v>
      </c>
      <c r="G75" s="149">
        <v>14</v>
      </c>
      <c r="H75" s="131">
        <f>SUM(B75:G75)</f>
        <v>3108</v>
      </c>
      <c r="I75" s="150">
        <f t="shared" si="11"/>
        <v>126.55604278636663</v>
      </c>
      <c r="R75" s="95"/>
    </row>
    <row r="76" spans="1:18" s="30" customFormat="1" ht="17.100000000000001" customHeight="1" x14ac:dyDescent="0.25">
      <c r="A76" s="159" t="s">
        <v>39</v>
      </c>
      <c r="B76" s="145">
        <v>45</v>
      </c>
      <c r="C76" s="148">
        <v>47</v>
      </c>
      <c r="D76" s="147">
        <v>107</v>
      </c>
      <c r="E76" s="148">
        <v>25</v>
      </c>
      <c r="F76" s="147">
        <v>1</v>
      </c>
      <c r="G76" s="149">
        <v>0</v>
      </c>
      <c r="H76" s="131">
        <f>SUM(B76:G76)</f>
        <v>225</v>
      </c>
      <c r="I76" s="150">
        <f t="shared" si="11"/>
        <v>9.161875684341215</v>
      </c>
      <c r="R76" s="95"/>
    </row>
    <row r="77" spans="1:18" s="37" customFormat="1" ht="17.100000000000001" customHeight="1" x14ac:dyDescent="0.25">
      <c r="A77" s="165" t="s">
        <v>2</v>
      </c>
      <c r="B77" s="145">
        <v>0</v>
      </c>
      <c r="C77" s="148">
        <v>0</v>
      </c>
      <c r="D77" s="147">
        <v>0</v>
      </c>
      <c r="E77" s="148">
        <v>0</v>
      </c>
      <c r="F77" s="147">
        <v>0</v>
      </c>
      <c r="G77" s="149">
        <v>0</v>
      </c>
      <c r="H77" s="106">
        <f t="shared" si="18"/>
        <v>0</v>
      </c>
      <c r="I77" s="121">
        <f t="shared" si="11"/>
        <v>0</v>
      </c>
      <c r="J77" s="30"/>
      <c r="R77" s="96"/>
    </row>
    <row r="78" spans="1:18" s="30" customFormat="1" ht="17.100000000000001" customHeight="1" x14ac:dyDescent="0.25">
      <c r="A78" s="32" t="s">
        <v>57</v>
      </c>
      <c r="B78" s="33">
        <f t="shared" ref="B78:G78" si="19">SUM(B79:B82)</f>
        <v>15</v>
      </c>
      <c r="C78" s="34">
        <f t="shared" si="19"/>
        <v>9</v>
      </c>
      <c r="D78" s="31">
        <f t="shared" si="19"/>
        <v>7</v>
      </c>
      <c r="E78" s="34">
        <f t="shared" si="19"/>
        <v>1</v>
      </c>
      <c r="F78" s="31">
        <f t="shared" si="19"/>
        <v>6</v>
      </c>
      <c r="G78" s="35">
        <f t="shared" si="19"/>
        <v>2</v>
      </c>
      <c r="H78" s="36">
        <f t="shared" si="18"/>
        <v>40</v>
      </c>
      <c r="I78" s="75">
        <f t="shared" si="11"/>
        <v>1.6287778994384381</v>
      </c>
      <c r="J78" s="37"/>
      <c r="K78" s="84"/>
      <c r="L78" s="84"/>
      <c r="M78" s="84"/>
      <c r="N78" s="84"/>
      <c r="O78" s="84"/>
      <c r="P78" s="84"/>
      <c r="Q78" s="84"/>
    </row>
    <row r="79" spans="1:18" s="30" customFormat="1" ht="17.100000000000001" customHeight="1" x14ac:dyDescent="0.25">
      <c r="A79" s="159" t="s">
        <v>17</v>
      </c>
      <c r="B79" s="102">
        <v>14</v>
      </c>
      <c r="C79" s="103">
        <v>2</v>
      </c>
      <c r="D79" s="104">
        <v>2</v>
      </c>
      <c r="E79" s="103">
        <v>0</v>
      </c>
      <c r="F79" s="104">
        <v>6</v>
      </c>
      <c r="G79" s="105">
        <v>2</v>
      </c>
      <c r="H79" s="106">
        <f t="shared" si="18"/>
        <v>26</v>
      </c>
      <c r="I79" s="121">
        <f t="shared" ref="I79:I82" si="20">H79/B$83 * 100000</f>
        <v>1.0587056346349848</v>
      </c>
      <c r="K79" s="84"/>
      <c r="L79" s="84"/>
      <c r="M79" s="84"/>
      <c r="N79" s="84"/>
      <c r="O79" s="84"/>
      <c r="P79" s="84"/>
      <c r="Q79" s="84"/>
    </row>
    <row r="80" spans="1:18" s="30" customFormat="1" ht="17.100000000000001" customHeight="1" x14ac:dyDescent="0.25">
      <c r="A80" s="160" t="s">
        <v>18</v>
      </c>
      <c r="B80" s="145">
        <v>1</v>
      </c>
      <c r="C80" s="148">
        <v>5</v>
      </c>
      <c r="D80" s="147">
        <v>4</v>
      </c>
      <c r="E80" s="148">
        <v>1</v>
      </c>
      <c r="F80" s="147">
        <v>0</v>
      </c>
      <c r="G80" s="149">
        <v>0</v>
      </c>
      <c r="H80" s="106">
        <f t="shared" si="18"/>
        <v>11</v>
      </c>
      <c r="I80" s="122">
        <f t="shared" si="20"/>
        <v>0.44791392234557054</v>
      </c>
      <c r="K80" s="84"/>
      <c r="L80" s="84"/>
      <c r="M80" s="84"/>
      <c r="N80" s="84"/>
      <c r="O80" s="84"/>
      <c r="P80" s="84"/>
      <c r="Q80" s="84"/>
    </row>
    <row r="81" spans="1:17" s="30" customFormat="1" ht="17.100000000000001" customHeight="1" x14ac:dyDescent="0.25">
      <c r="A81" s="159" t="s">
        <v>19</v>
      </c>
      <c r="B81" s="102">
        <v>0</v>
      </c>
      <c r="C81" s="103">
        <v>2</v>
      </c>
      <c r="D81" s="104">
        <v>1</v>
      </c>
      <c r="E81" s="103">
        <v>0</v>
      </c>
      <c r="F81" s="104">
        <v>0</v>
      </c>
      <c r="G81" s="105">
        <v>0</v>
      </c>
      <c r="H81" s="106">
        <f t="shared" si="18"/>
        <v>3</v>
      </c>
      <c r="I81" s="122">
        <f t="shared" si="20"/>
        <v>0.12215834245788286</v>
      </c>
      <c r="K81" s="84"/>
      <c r="L81" s="84"/>
      <c r="M81" s="84"/>
      <c r="N81" s="84"/>
      <c r="O81" s="84"/>
      <c r="P81" s="84"/>
      <c r="Q81" s="84"/>
    </row>
    <row r="82" spans="1:17" s="30" customFormat="1" ht="17.100000000000001" customHeight="1" x14ac:dyDescent="0.25">
      <c r="A82" s="164" t="s">
        <v>20</v>
      </c>
      <c r="B82" s="102">
        <v>0</v>
      </c>
      <c r="C82" s="103">
        <v>0</v>
      </c>
      <c r="D82" s="104">
        <v>0</v>
      </c>
      <c r="E82" s="103">
        <v>0</v>
      </c>
      <c r="F82" s="147">
        <v>0</v>
      </c>
      <c r="G82" s="149">
        <v>0</v>
      </c>
      <c r="H82" s="106">
        <f t="shared" si="18"/>
        <v>0</v>
      </c>
      <c r="I82" s="121">
        <f t="shared" si="20"/>
        <v>0</v>
      </c>
      <c r="J82" s="1"/>
      <c r="K82" s="84"/>
      <c r="L82" s="84"/>
      <c r="M82" s="84"/>
      <c r="N82" s="84"/>
      <c r="O82" s="84"/>
      <c r="P82" s="84"/>
      <c r="Q82" s="84"/>
    </row>
    <row r="83" spans="1:17" s="30" customFormat="1" ht="27.95" customHeight="1" x14ac:dyDescent="0.2">
      <c r="A83" s="69" t="s">
        <v>62</v>
      </c>
      <c r="B83" s="207">
        <v>2455829</v>
      </c>
      <c r="C83" s="213"/>
      <c r="D83" s="68"/>
      <c r="E83" s="68"/>
      <c r="F83" s="68"/>
      <c r="G83" s="68"/>
      <c r="H83" s="68"/>
      <c r="I83" s="68"/>
      <c r="J83" s="1"/>
      <c r="K83" s="87"/>
      <c r="L83" s="87"/>
      <c r="M83" s="87"/>
      <c r="N83" s="87"/>
      <c r="O83" s="87"/>
      <c r="P83" s="87"/>
      <c r="Q83" s="84"/>
    </row>
    <row r="84" spans="1:17" s="30" customFormat="1" ht="27.95" customHeight="1" x14ac:dyDescent="0.2">
      <c r="A84" s="69" t="s">
        <v>13</v>
      </c>
      <c r="B84" s="70"/>
      <c r="C84" s="71"/>
      <c r="D84" s="72"/>
      <c r="E84" s="70"/>
      <c r="F84" s="71"/>
      <c r="G84" s="73"/>
      <c r="H84" s="69"/>
      <c r="I84" s="69"/>
      <c r="J84" s="1"/>
      <c r="K84" s="85"/>
      <c r="L84" s="84"/>
      <c r="M84" s="84"/>
      <c r="N84" s="84"/>
      <c r="O84" s="84"/>
      <c r="P84" s="84"/>
      <c r="Q84" s="84"/>
    </row>
    <row r="85" spans="1:17" s="30" customFormat="1" ht="27.95" customHeight="1" x14ac:dyDescent="0.2">
      <c r="A85" s="208" t="s">
        <v>14</v>
      </c>
      <c r="B85" s="209"/>
      <c r="C85" s="209"/>
      <c r="D85" s="209"/>
      <c r="E85" s="209"/>
      <c r="F85" s="209"/>
      <c r="G85" s="209"/>
      <c r="H85" s="209"/>
      <c r="I85" s="209"/>
      <c r="J85" s="1"/>
      <c r="K85" s="85"/>
      <c r="L85" s="84"/>
      <c r="M85" s="84"/>
      <c r="N85" s="84"/>
      <c r="O85" s="84"/>
      <c r="P85" s="84"/>
      <c r="Q85" s="84"/>
    </row>
    <row r="86" spans="1:17" s="30" customFormat="1" ht="16.5" customHeight="1" x14ac:dyDescent="0.25">
      <c r="A86" s="208" t="s">
        <v>34</v>
      </c>
      <c r="B86" s="209"/>
      <c r="C86" s="209"/>
      <c r="D86" s="209"/>
      <c r="E86" s="209"/>
      <c r="F86" s="209"/>
      <c r="G86" s="209"/>
      <c r="H86" s="209"/>
      <c r="I86" s="209"/>
      <c r="J86" s="1"/>
      <c r="K86" s="29"/>
      <c r="L86" s="1"/>
      <c r="M86" s="1"/>
      <c r="N86" s="1"/>
      <c r="O86" s="1"/>
      <c r="P86" s="1"/>
      <c r="Q86" s="1"/>
    </row>
    <row r="87" spans="1:17" s="30" customFormat="1" ht="27.95" customHeight="1" x14ac:dyDescent="0.25">
      <c r="A87" s="74" t="s">
        <v>81</v>
      </c>
      <c r="B87" s="70"/>
      <c r="C87" s="71"/>
      <c r="D87" s="72"/>
      <c r="E87" s="70"/>
      <c r="F87" s="71"/>
      <c r="G87" s="73"/>
      <c r="H87" s="69"/>
      <c r="I87" s="69"/>
      <c r="J87" s="1"/>
      <c r="K87" s="29"/>
      <c r="L87" s="1"/>
      <c r="M87" s="1"/>
      <c r="N87" s="1"/>
      <c r="O87" s="1"/>
      <c r="P87" s="1"/>
      <c r="Q87" s="1"/>
    </row>
    <row r="88" spans="1:17" s="30" customFormat="1" ht="15.75" x14ac:dyDescent="0.25">
      <c r="A88" s="1"/>
      <c r="B88" s="11"/>
      <c r="C88" s="2"/>
      <c r="D88" s="22"/>
      <c r="E88" s="11"/>
      <c r="F88" s="2"/>
      <c r="G88" s="1"/>
      <c r="H88" s="1"/>
      <c r="I88" s="1"/>
      <c r="J88" s="1"/>
      <c r="K88" s="29"/>
      <c r="L88" s="1"/>
      <c r="M88" s="1"/>
      <c r="N88" s="1"/>
      <c r="O88" s="1"/>
      <c r="P88" s="1"/>
      <c r="Q88" s="1"/>
    </row>
    <row r="89" spans="1:17" s="30" customFormat="1" ht="15" customHeight="1" x14ac:dyDescent="0.2">
      <c r="A89" s="1"/>
      <c r="B89" s="64"/>
      <c r="C89" s="63"/>
      <c r="D89" s="63"/>
      <c r="E89" s="64"/>
      <c r="F89" s="63"/>
      <c r="G89" s="63"/>
      <c r="H89" s="63"/>
      <c r="I89" s="1"/>
      <c r="J89" s="1"/>
      <c r="K89" s="1"/>
      <c r="L89" s="1"/>
      <c r="M89" s="1"/>
      <c r="N89" s="1"/>
      <c r="O89" s="1"/>
      <c r="P89" s="1"/>
      <c r="Q89" s="1"/>
    </row>
    <row r="90" spans="1:17" s="30" customFormat="1" x14ac:dyDescent="0.2">
      <c r="A90" s="1"/>
      <c r="B90" s="63"/>
      <c r="C90" s="63"/>
      <c r="D90" s="63"/>
      <c r="E90" s="64"/>
      <c r="F90" s="63"/>
      <c r="G90" s="63"/>
      <c r="H90" s="63"/>
      <c r="I90" s="1"/>
      <c r="J90" s="21"/>
      <c r="K90" s="1"/>
      <c r="L90" s="1"/>
      <c r="M90" s="1"/>
      <c r="N90" s="1"/>
      <c r="O90" s="1"/>
      <c r="P90" s="1"/>
      <c r="Q90" s="1"/>
    </row>
    <row r="91" spans="1:17" x14ac:dyDescent="0.2">
      <c r="B91" s="64"/>
      <c r="C91" s="63"/>
      <c r="D91" s="63"/>
      <c r="E91" s="64"/>
      <c r="F91" s="63"/>
      <c r="G91" s="63"/>
      <c r="H91" s="63"/>
      <c r="J91" s="9"/>
    </row>
    <row r="92" spans="1:17" s="37" customFormat="1" ht="21" customHeight="1" x14ac:dyDescent="0.25">
      <c r="A92" s="1"/>
      <c r="B92" s="64"/>
      <c r="C92" s="63"/>
      <c r="D92" s="67"/>
      <c r="E92" s="64"/>
      <c r="F92" s="63"/>
      <c r="G92" s="67"/>
      <c r="H92" s="63"/>
      <c r="I92" s="1"/>
      <c r="J92" s="9"/>
      <c r="K92" s="1"/>
      <c r="L92" s="1"/>
      <c r="M92" s="1"/>
      <c r="N92" s="1"/>
      <c r="O92" s="1"/>
      <c r="P92" s="1"/>
      <c r="Q92" s="1"/>
    </row>
    <row r="93" spans="1:17" s="30" customFormat="1" x14ac:dyDescent="0.2">
      <c r="A93" s="1"/>
      <c r="B93" s="64"/>
      <c r="C93" s="63"/>
      <c r="D93" s="67"/>
      <c r="E93" s="64"/>
      <c r="F93" s="63"/>
      <c r="G93" s="67"/>
      <c r="H93" s="63"/>
      <c r="I93" s="1"/>
      <c r="J93" s="9"/>
      <c r="K93" s="1"/>
      <c r="L93" s="1"/>
      <c r="M93" s="1"/>
      <c r="N93" s="1"/>
      <c r="O93" s="1"/>
      <c r="P93" s="1"/>
      <c r="Q93" s="1"/>
    </row>
    <row r="94" spans="1:17" s="30" customFormat="1" x14ac:dyDescent="0.2">
      <c r="A94" s="1"/>
      <c r="B94" s="64"/>
      <c r="C94" s="63"/>
      <c r="D94" s="67"/>
      <c r="E94" s="64"/>
      <c r="F94" s="63"/>
      <c r="G94" s="67"/>
      <c r="H94" s="63"/>
      <c r="I94" s="1"/>
      <c r="J94" s="9"/>
      <c r="K94" s="1"/>
      <c r="L94" s="1"/>
      <c r="M94" s="1"/>
      <c r="N94" s="1"/>
      <c r="O94" s="1"/>
      <c r="P94" s="1"/>
      <c r="Q94" s="1"/>
    </row>
    <row r="95" spans="1:17" s="30" customFormat="1" ht="15" customHeight="1" x14ac:dyDescent="0.2">
      <c r="A95" s="1"/>
      <c r="B95" s="66"/>
      <c r="C95" s="19"/>
      <c r="D95" s="65"/>
      <c r="E95" s="66"/>
      <c r="F95" s="19"/>
      <c r="G95" s="19"/>
      <c r="H95" s="19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B96" s="11"/>
      <c r="C96" s="12"/>
      <c r="D96" s="23"/>
      <c r="E96" s="11"/>
      <c r="F96" s="12"/>
      <c r="G96" s="13"/>
    </row>
    <row r="97" spans="1:17" s="37" customFormat="1" ht="21" customHeight="1" x14ac:dyDescent="0.25">
      <c r="A97" s="1"/>
      <c r="B97" s="11"/>
      <c r="C97" s="12"/>
      <c r="D97" s="23"/>
      <c r="E97" s="11"/>
      <c r="F97" s="12"/>
      <c r="G97" s="13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30" customFormat="1" x14ac:dyDescent="0.2">
      <c r="A98" s="1"/>
      <c r="B98" s="11"/>
      <c r="C98" s="12"/>
      <c r="D98" s="23"/>
      <c r="E98" s="11"/>
      <c r="F98" s="12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30" customFormat="1" x14ac:dyDescent="0.2">
      <c r="A99" s="1"/>
      <c r="B99" s="11"/>
      <c r="C99" s="12"/>
      <c r="D99" s="23"/>
      <c r="E99" s="11"/>
      <c r="F99" s="12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30" customFormat="1" x14ac:dyDescent="0.2">
      <c r="A100" s="1"/>
      <c r="B100" s="11"/>
      <c r="C100" s="12"/>
      <c r="D100" s="23"/>
      <c r="E100" s="11"/>
      <c r="F100" s="12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30" customFormat="1" x14ac:dyDescent="0.2">
      <c r="A101" s="1"/>
      <c r="B101" s="11"/>
      <c r="C101" s="1"/>
      <c r="D101" s="22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30" customFormat="1" x14ac:dyDescent="0.2">
      <c r="A102" s="1"/>
      <c r="B102" s="11"/>
      <c r="C102" s="12"/>
      <c r="D102" s="23"/>
      <c r="E102" s="11"/>
      <c r="F102" s="12"/>
      <c r="G102" s="13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37" customFormat="1" ht="21" customHeight="1" x14ac:dyDescent="0.25">
      <c r="A103" s="1"/>
      <c r="B103" s="11"/>
      <c r="C103" s="12"/>
      <c r="D103" s="23"/>
      <c r="E103" s="11"/>
      <c r="F103" s="12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37" customFormat="1" ht="21" customHeight="1" x14ac:dyDescent="0.25">
      <c r="A104" s="1"/>
      <c r="B104" s="11"/>
      <c r="C104" s="12"/>
      <c r="D104" s="23"/>
      <c r="E104" s="11"/>
      <c r="F104" s="12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37" customFormat="1" ht="21" customHeight="1" x14ac:dyDescent="0.25">
      <c r="A105" s="1"/>
      <c r="B105" s="11"/>
      <c r="C105" s="12"/>
      <c r="D105" s="23"/>
      <c r="E105" s="11"/>
      <c r="F105" s="12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37" customFormat="1" ht="21" customHeight="1" x14ac:dyDescent="0.25">
      <c r="A106" s="1"/>
      <c r="B106" s="11"/>
      <c r="C106" s="12"/>
      <c r="D106" s="23"/>
      <c r="E106" s="11"/>
      <c r="F106" s="12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37" customFormat="1" ht="21" customHeight="1" x14ac:dyDescent="0.25">
      <c r="A107" s="1"/>
      <c r="B107" s="11"/>
      <c r="C107" s="12"/>
      <c r="D107" s="22"/>
      <c r="E107" s="11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37" customFormat="1" ht="21" customHeight="1" x14ac:dyDescent="0.25">
      <c r="A108" s="1"/>
      <c r="B108" s="3"/>
      <c r="C108" s="12"/>
      <c r="D108" s="22"/>
      <c r="E108" s="3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37" customFormat="1" ht="21" customHeight="1" x14ac:dyDescent="0.25">
      <c r="A109" s="1"/>
      <c r="B109" s="3"/>
      <c r="C109" s="12"/>
      <c r="D109" s="22"/>
      <c r="E109" s="3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33.75" customHeight="1" x14ac:dyDescent="0.2">
      <c r="B110" s="3"/>
      <c r="E110" s="3"/>
    </row>
    <row r="111" spans="1:17" ht="22.5" customHeight="1" x14ac:dyDescent="0.2">
      <c r="B111" s="3"/>
      <c r="E111" s="3"/>
    </row>
    <row r="112" spans="1:17" ht="27.75" customHeight="1" x14ac:dyDescent="0.2">
      <c r="B112" s="14"/>
      <c r="C112" s="5"/>
      <c r="D112" s="24"/>
      <c r="E112" s="14"/>
      <c r="F112" s="5"/>
      <c r="G112" s="5"/>
    </row>
    <row r="113" spans="1:10" ht="16.5" customHeight="1" x14ac:dyDescent="0.2">
      <c r="B113" s="3"/>
      <c r="D113" s="24"/>
      <c r="E113" s="3"/>
      <c r="G113" s="5"/>
    </row>
    <row r="114" spans="1:10" ht="24" customHeight="1" x14ac:dyDescent="0.2">
      <c r="B114" s="3"/>
      <c r="D114" s="24"/>
      <c r="E114" s="3"/>
      <c r="G114" s="5"/>
    </row>
    <row r="115" spans="1:10" ht="15.75" x14ac:dyDescent="0.25">
      <c r="A115" s="15"/>
      <c r="B115" s="3"/>
      <c r="E115" s="3"/>
    </row>
    <row r="116" spans="1:10" ht="15.75" x14ac:dyDescent="0.25">
      <c r="A116" s="15"/>
      <c r="B116" s="3"/>
      <c r="E116" s="3"/>
      <c r="H116" s="3"/>
    </row>
    <row r="117" spans="1:10" ht="15.75" x14ac:dyDescent="0.25">
      <c r="A117" s="15"/>
      <c r="B117" s="3"/>
      <c r="C117" s="12"/>
      <c r="D117" s="23"/>
      <c r="E117" s="3"/>
      <c r="F117" s="12"/>
      <c r="G117" s="13"/>
      <c r="I117" s="13"/>
      <c r="J117" s="7"/>
    </row>
    <row r="118" spans="1:10" x14ac:dyDescent="0.2">
      <c r="B118" s="3"/>
      <c r="C118" s="12"/>
      <c r="D118" s="23"/>
      <c r="E118" s="3"/>
      <c r="F118" s="12"/>
      <c r="G118" s="13"/>
    </row>
    <row r="119" spans="1:10" x14ac:dyDescent="0.2">
      <c r="B119" s="3"/>
      <c r="C119" s="12"/>
      <c r="D119" s="23"/>
      <c r="E119" s="3"/>
      <c r="F119" s="12"/>
      <c r="G119" s="13"/>
    </row>
    <row r="120" spans="1:10" x14ac:dyDescent="0.2">
      <c r="B120" s="3"/>
      <c r="C120" s="12"/>
      <c r="D120" s="23"/>
      <c r="E120" s="3"/>
      <c r="F120" s="12"/>
      <c r="G120" s="13"/>
    </row>
    <row r="121" spans="1:10" x14ac:dyDescent="0.2">
      <c r="B121" s="3"/>
      <c r="C121" s="12"/>
      <c r="D121" s="23"/>
      <c r="E121" s="3"/>
      <c r="F121" s="12"/>
      <c r="G121" s="13"/>
    </row>
    <row r="122" spans="1:10" ht="15.75" x14ac:dyDescent="0.25">
      <c r="A122" s="6"/>
      <c r="B122" s="3"/>
      <c r="C122" s="12"/>
      <c r="D122" s="23"/>
      <c r="E122" s="3"/>
      <c r="F122" s="12"/>
      <c r="G122" s="13"/>
    </row>
    <row r="123" spans="1:10" x14ac:dyDescent="0.2">
      <c r="B123" s="3"/>
      <c r="E123" s="3"/>
    </row>
    <row r="124" spans="1:10" ht="15.75" x14ac:dyDescent="0.25">
      <c r="A124" s="6"/>
      <c r="B124" s="3"/>
      <c r="E124" s="3"/>
    </row>
    <row r="125" spans="1:10" ht="15.75" x14ac:dyDescent="0.2">
      <c r="A125" s="4"/>
      <c r="B125" s="3"/>
      <c r="E125" s="3"/>
    </row>
    <row r="126" spans="1:10" x14ac:dyDescent="0.2">
      <c r="B126" s="3"/>
      <c r="E126" s="3"/>
    </row>
    <row r="127" spans="1:10" ht="15.75" x14ac:dyDescent="0.25">
      <c r="A127" s="6"/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B134" s="3"/>
      <c r="E134" s="3"/>
    </row>
    <row r="135" spans="1:7" x14ac:dyDescent="0.2">
      <c r="A135" s="10"/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E141" s="3"/>
    </row>
    <row r="142" spans="1:7" x14ac:dyDescent="0.2">
      <c r="B142" s="3"/>
      <c r="C142" s="12"/>
      <c r="D142" s="23"/>
      <c r="E142" s="3"/>
      <c r="F142" s="12"/>
      <c r="G142" s="13"/>
    </row>
    <row r="143" spans="1:7" x14ac:dyDescent="0.2">
      <c r="B143" s="3"/>
      <c r="C143" s="12"/>
      <c r="D143" s="23"/>
      <c r="E143" s="3"/>
      <c r="F143" s="12"/>
      <c r="G143" s="13"/>
    </row>
    <row r="144" spans="1:7" x14ac:dyDescent="0.2">
      <c r="B144" s="3"/>
      <c r="C144" s="12"/>
      <c r="D144" s="23"/>
      <c r="E144" s="3"/>
      <c r="F144" s="12"/>
      <c r="G144" s="13"/>
    </row>
    <row r="145" spans="1:7" x14ac:dyDescent="0.2">
      <c r="B145" s="3"/>
      <c r="C145" s="12"/>
      <c r="D145" s="23"/>
      <c r="E145" s="3"/>
      <c r="F145" s="12"/>
      <c r="G145" s="13"/>
    </row>
    <row r="146" spans="1:7" ht="15.75" x14ac:dyDescent="0.25">
      <c r="A146" s="15"/>
      <c r="B146" s="3"/>
      <c r="C146" s="12"/>
      <c r="D146" s="23"/>
      <c r="E146" s="3"/>
      <c r="F146" s="12"/>
      <c r="G146" s="13"/>
    </row>
    <row r="147" spans="1:7" ht="15.75" x14ac:dyDescent="0.25">
      <c r="A147" s="6"/>
      <c r="B147" s="3"/>
      <c r="C147" s="12"/>
      <c r="D147" s="23"/>
      <c r="E147" s="3"/>
      <c r="F147" s="12"/>
      <c r="G147" s="13"/>
    </row>
    <row r="148" spans="1:7" ht="15.75" x14ac:dyDescent="0.25">
      <c r="A148" s="8"/>
      <c r="B148" s="3"/>
      <c r="C148" s="12"/>
      <c r="D148" s="23"/>
      <c r="E148" s="3"/>
      <c r="F148" s="12"/>
      <c r="G148" s="13"/>
    </row>
    <row r="149" spans="1:7" x14ac:dyDescent="0.2">
      <c r="B149" s="3"/>
      <c r="C149" s="12"/>
      <c r="D149" s="23"/>
      <c r="E149" s="3"/>
      <c r="F149" s="12"/>
      <c r="G149" s="13"/>
    </row>
    <row r="150" spans="1:7" x14ac:dyDescent="0.2">
      <c r="A150" s="10"/>
      <c r="B150" s="3"/>
      <c r="C150" s="12"/>
      <c r="D150" s="23"/>
      <c r="E150" s="3"/>
      <c r="F150" s="12"/>
      <c r="G150" s="13"/>
    </row>
    <row r="151" spans="1:7" x14ac:dyDescent="0.2">
      <c r="B151" s="3"/>
      <c r="C151" s="12"/>
      <c r="D151" s="23"/>
      <c r="E151" s="3"/>
      <c r="F151" s="12"/>
      <c r="G151" s="13"/>
    </row>
    <row r="152" spans="1:7" x14ac:dyDescent="0.2">
      <c r="A152" s="10"/>
      <c r="B152" s="3"/>
      <c r="C152" s="12"/>
      <c r="D152" s="23"/>
      <c r="E152" s="3"/>
      <c r="F152" s="12"/>
      <c r="G152" s="13"/>
    </row>
    <row r="153" spans="1:7" x14ac:dyDescent="0.2">
      <c r="B153" s="3"/>
      <c r="C153" s="12"/>
      <c r="D153" s="23"/>
      <c r="E153" s="3"/>
      <c r="F153" s="12"/>
      <c r="G153" s="13"/>
    </row>
    <row r="154" spans="1:7" ht="15.75" x14ac:dyDescent="0.25">
      <c r="A154" s="15"/>
      <c r="C154" s="12"/>
      <c r="D154" s="23"/>
      <c r="F154" s="12"/>
      <c r="G154" s="13"/>
    </row>
    <row r="155" spans="1:7" ht="15.75" x14ac:dyDescent="0.25">
      <c r="A155" s="15"/>
      <c r="C155" s="12"/>
      <c r="D155" s="23"/>
      <c r="F155" s="12"/>
      <c r="G155" s="13"/>
    </row>
    <row r="156" spans="1:7" ht="15.75" x14ac:dyDescent="0.25">
      <c r="A156" s="15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D159" s="23"/>
      <c r="F159" s="12"/>
      <c r="G159" s="13"/>
    </row>
    <row r="160" spans="1:7" x14ac:dyDescent="0.2">
      <c r="B160" s="10"/>
      <c r="C160" s="16"/>
      <c r="D160" s="25"/>
      <c r="E160" s="10"/>
      <c r="F160" s="16"/>
      <c r="G160" s="17"/>
    </row>
    <row r="161" spans="1:7" ht="15.75" x14ac:dyDescent="0.25">
      <c r="A161" s="6"/>
      <c r="C161" s="12"/>
      <c r="D161" s="23"/>
      <c r="F161" s="12"/>
      <c r="G161" s="13"/>
    </row>
    <row r="162" spans="1:7" x14ac:dyDescent="0.2">
      <c r="B162" s="10"/>
      <c r="C162" s="16"/>
      <c r="D162" s="25"/>
      <c r="E162" s="10"/>
      <c r="F162" s="16"/>
      <c r="G162" s="17"/>
    </row>
    <row r="163" spans="1:7" ht="15.75" x14ac:dyDescent="0.25">
      <c r="A163" s="6"/>
      <c r="C163" s="12"/>
      <c r="D163" s="23"/>
      <c r="F163" s="12"/>
      <c r="G163" s="13"/>
    </row>
    <row r="164" spans="1:7" ht="15.75" x14ac:dyDescent="0.2">
      <c r="A164" s="4"/>
      <c r="C164" s="12"/>
      <c r="F164" s="12"/>
    </row>
    <row r="165" spans="1:7" x14ac:dyDescent="0.2">
      <c r="C165" s="12"/>
      <c r="F165" s="12"/>
    </row>
    <row r="166" spans="1:7" ht="15.75" x14ac:dyDescent="0.25">
      <c r="A166" s="6"/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C173" s="12"/>
      <c r="F173" s="12"/>
    </row>
    <row r="174" spans="1:7" x14ac:dyDescent="0.2">
      <c r="A174" s="10"/>
      <c r="B174" s="5"/>
      <c r="E174" s="5"/>
    </row>
    <row r="175" spans="1:7" x14ac:dyDescent="0.2">
      <c r="B175" s="5"/>
      <c r="C175" s="5"/>
      <c r="D175" s="24"/>
      <c r="E175" s="5"/>
      <c r="F175" s="5"/>
      <c r="G175" s="5"/>
    </row>
    <row r="176" spans="1:7" x14ac:dyDescent="0.2">
      <c r="D176" s="24"/>
      <c r="G176" s="5"/>
    </row>
    <row r="178" spans="1:7" x14ac:dyDescent="0.2">
      <c r="C178" s="12"/>
      <c r="D178" s="23"/>
      <c r="F178" s="12"/>
      <c r="G178" s="13"/>
    </row>
    <row r="179" spans="1:7" x14ac:dyDescent="0.2"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x14ac:dyDescent="0.2">
      <c r="C181" s="12"/>
      <c r="D181" s="23"/>
      <c r="F181" s="12"/>
      <c r="G181" s="13"/>
    </row>
    <row r="182" spans="1:7" x14ac:dyDescent="0.2">
      <c r="C182" s="12"/>
      <c r="D182" s="23"/>
      <c r="F182" s="12"/>
      <c r="G182" s="13"/>
    </row>
    <row r="183" spans="1:7" x14ac:dyDescent="0.2">
      <c r="C183" s="12"/>
      <c r="D183" s="23"/>
      <c r="F183" s="12"/>
      <c r="G183" s="13"/>
    </row>
    <row r="184" spans="1:7" x14ac:dyDescent="0.2">
      <c r="B184" s="10"/>
      <c r="C184" s="16"/>
      <c r="D184" s="25"/>
      <c r="E184" s="10"/>
      <c r="F184" s="16"/>
      <c r="G184" s="17"/>
    </row>
    <row r="185" spans="1:7" ht="15.75" x14ac:dyDescent="0.25">
      <c r="A185" s="15"/>
      <c r="C185" s="12"/>
      <c r="D185" s="23"/>
      <c r="F185" s="12"/>
      <c r="G185" s="13"/>
    </row>
    <row r="186" spans="1:7" ht="15.75" x14ac:dyDescent="0.25">
      <c r="A186" s="6"/>
      <c r="C186" s="12"/>
      <c r="D186" s="23"/>
      <c r="F186" s="12"/>
      <c r="G186" s="13"/>
    </row>
    <row r="187" spans="1:7" ht="15.75" x14ac:dyDescent="0.25">
      <c r="A187" s="8"/>
      <c r="C187" s="12"/>
      <c r="D187" s="23"/>
      <c r="F187" s="12"/>
      <c r="G187" s="13"/>
    </row>
    <row r="188" spans="1:7" x14ac:dyDescent="0.2">
      <c r="C188" s="12"/>
      <c r="D188" s="23"/>
      <c r="F188" s="12"/>
      <c r="G188" s="13"/>
    </row>
    <row r="189" spans="1:7" x14ac:dyDescent="0.2">
      <c r="A189" s="10"/>
      <c r="C189" s="12"/>
      <c r="D189" s="23"/>
      <c r="F189" s="12"/>
      <c r="G189" s="13"/>
    </row>
    <row r="190" spans="1:7" x14ac:dyDescent="0.2">
      <c r="C190" s="12"/>
      <c r="D190" s="23"/>
      <c r="F190" s="12"/>
      <c r="G190" s="13"/>
    </row>
    <row r="191" spans="1:7" x14ac:dyDescent="0.2">
      <c r="A191" s="10"/>
      <c r="C191" s="12"/>
      <c r="D191" s="23"/>
      <c r="F191" s="12"/>
      <c r="G191" s="13"/>
    </row>
    <row r="192" spans="1:7" x14ac:dyDescent="0.2">
      <c r="C192" s="12"/>
      <c r="D192" s="23"/>
      <c r="F192" s="12"/>
      <c r="G192" s="13"/>
    </row>
    <row r="193" spans="1:7" ht="15.75" x14ac:dyDescent="0.25">
      <c r="A193" s="15"/>
      <c r="C193" s="12"/>
      <c r="D193" s="23"/>
      <c r="F193" s="12"/>
      <c r="G193" s="13"/>
    </row>
    <row r="194" spans="1:7" ht="15.75" x14ac:dyDescent="0.25">
      <c r="A194" s="15"/>
      <c r="C194" s="12"/>
      <c r="D194" s="23"/>
      <c r="F194" s="12"/>
      <c r="G194" s="13"/>
    </row>
    <row r="195" spans="1:7" ht="15.75" x14ac:dyDescent="0.25">
      <c r="A195" s="15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D198" s="23"/>
      <c r="F198" s="12"/>
      <c r="G198" s="13"/>
    </row>
    <row r="199" spans="1:7" x14ac:dyDescent="0.2">
      <c r="B199" s="10"/>
      <c r="C199" s="16"/>
      <c r="D199" s="25"/>
      <c r="E199" s="10"/>
      <c r="F199" s="16"/>
      <c r="G199" s="17"/>
    </row>
    <row r="200" spans="1:7" ht="15.75" x14ac:dyDescent="0.25">
      <c r="A200" s="6"/>
      <c r="C200" s="12"/>
      <c r="D200" s="23"/>
      <c r="F200" s="12"/>
      <c r="G200" s="13"/>
    </row>
    <row r="201" spans="1:7" x14ac:dyDescent="0.2">
      <c r="B201" s="10"/>
      <c r="C201" s="16"/>
      <c r="D201" s="25"/>
      <c r="E201" s="10"/>
      <c r="F201" s="16"/>
      <c r="G201" s="17"/>
    </row>
    <row r="202" spans="1:7" ht="15.75" x14ac:dyDescent="0.25">
      <c r="A202" s="6"/>
      <c r="C202" s="12"/>
      <c r="D202" s="23"/>
      <c r="F202" s="12"/>
      <c r="G202" s="13"/>
    </row>
    <row r="203" spans="1:7" ht="15.75" x14ac:dyDescent="0.2">
      <c r="A203" s="4"/>
      <c r="C203" s="12"/>
      <c r="F203" s="12"/>
    </row>
    <row r="204" spans="1:7" x14ac:dyDescent="0.2">
      <c r="C204" s="12"/>
      <c r="F204" s="12"/>
    </row>
    <row r="205" spans="1:7" ht="15.75" x14ac:dyDescent="0.25">
      <c r="A205" s="6"/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C212" s="12"/>
      <c r="F212" s="12"/>
    </row>
    <row r="213" spans="1:7" x14ac:dyDescent="0.2">
      <c r="A213" s="10"/>
      <c r="B213" s="5"/>
      <c r="E213" s="5"/>
    </row>
    <row r="214" spans="1:7" x14ac:dyDescent="0.2">
      <c r="B214" s="5"/>
      <c r="C214" s="5"/>
      <c r="D214" s="24"/>
      <c r="E214" s="5"/>
      <c r="F214" s="5"/>
      <c r="G214" s="5"/>
    </row>
    <row r="215" spans="1:7" x14ac:dyDescent="0.2">
      <c r="D215" s="24"/>
      <c r="G215" s="5"/>
    </row>
    <row r="217" spans="1:7" x14ac:dyDescent="0.2">
      <c r="C217" s="12"/>
      <c r="D217" s="23"/>
      <c r="F217" s="12"/>
      <c r="G217" s="13"/>
    </row>
    <row r="218" spans="1:7" x14ac:dyDescent="0.2"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x14ac:dyDescent="0.2">
      <c r="C220" s="12"/>
      <c r="D220" s="23"/>
      <c r="F220" s="12"/>
      <c r="G220" s="13"/>
    </row>
    <row r="221" spans="1:7" x14ac:dyDescent="0.2">
      <c r="C221" s="12"/>
      <c r="D221" s="23"/>
      <c r="F221" s="12"/>
      <c r="G221" s="13"/>
    </row>
    <row r="222" spans="1:7" x14ac:dyDescent="0.2">
      <c r="C222" s="12"/>
      <c r="D222" s="23"/>
      <c r="F222" s="12"/>
      <c r="G222" s="13"/>
    </row>
    <row r="223" spans="1:7" x14ac:dyDescent="0.2">
      <c r="B223" s="10"/>
      <c r="C223" s="16"/>
      <c r="D223" s="25"/>
      <c r="E223" s="10"/>
      <c r="F223" s="16"/>
      <c r="G223" s="17"/>
    </row>
    <row r="224" spans="1:7" ht="15.75" x14ac:dyDescent="0.25">
      <c r="A224" s="15"/>
      <c r="C224" s="12"/>
      <c r="D224" s="23"/>
      <c r="F224" s="12"/>
      <c r="G224" s="13"/>
    </row>
    <row r="225" spans="1:7" ht="15.75" x14ac:dyDescent="0.25">
      <c r="A225" s="6"/>
      <c r="C225" s="12"/>
      <c r="D225" s="23"/>
      <c r="F225" s="12"/>
      <c r="G225" s="13"/>
    </row>
    <row r="226" spans="1:7" ht="15.75" x14ac:dyDescent="0.25">
      <c r="A226" s="8"/>
      <c r="C226" s="12"/>
      <c r="D226" s="23"/>
      <c r="F226" s="12"/>
      <c r="G226" s="13"/>
    </row>
    <row r="227" spans="1:7" x14ac:dyDescent="0.2">
      <c r="C227" s="12"/>
      <c r="D227" s="23"/>
      <c r="F227" s="12"/>
      <c r="G227" s="13"/>
    </row>
    <row r="228" spans="1:7" x14ac:dyDescent="0.2">
      <c r="A228" s="10"/>
      <c r="C228" s="12"/>
      <c r="D228" s="23"/>
      <c r="F228" s="12"/>
      <c r="G228" s="13"/>
    </row>
    <row r="229" spans="1:7" x14ac:dyDescent="0.2">
      <c r="C229" s="12"/>
      <c r="D229" s="23"/>
      <c r="F229" s="12"/>
      <c r="G229" s="13"/>
    </row>
    <row r="230" spans="1:7" x14ac:dyDescent="0.2">
      <c r="A230" s="10"/>
      <c r="C230" s="12"/>
      <c r="D230" s="23"/>
      <c r="F230" s="12"/>
      <c r="G230" s="13"/>
    </row>
    <row r="231" spans="1:7" x14ac:dyDescent="0.2">
      <c r="C231" s="12"/>
      <c r="D231" s="23"/>
      <c r="F231" s="12"/>
      <c r="G231" s="13"/>
    </row>
    <row r="232" spans="1:7" ht="15.75" x14ac:dyDescent="0.25">
      <c r="A232" s="15"/>
      <c r="C232" s="12"/>
      <c r="D232" s="23"/>
      <c r="F232" s="12"/>
      <c r="G232" s="13"/>
    </row>
    <row r="233" spans="1:7" ht="15.75" x14ac:dyDescent="0.25">
      <c r="A233" s="15"/>
      <c r="C233" s="12"/>
      <c r="D233" s="23"/>
      <c r="F233" s="12"/>
      <c r="G233" s="13"/>
    </row>
    <row r="234" spans="1:7" ht="15.75" x14ac:dyDescent="0.25">
      <c r="A234" s="15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D237" s="23"/>
      <c r="F237" s="12"/>
      <c r="G237" s="13"/>
    </row>
    <row r="238" spans="1:7" x14ac:dyDescent="0.2">
      <c r="B238" s="10"/>
      <c r="C238" s="16"/>
      <c r="D238" s="25"/>
      <c r="E238" s="10"/>
      <c r="F238" s="16"/>
      <c r="G238" s="17"/>
    </row>
    <row r="239" spans="1:7" ht="15.75" x14ac:dyDescent="0.25">
      <c r="A239" s="6"/>
      <c r="C239" s="12"/>
      <c r="D239" s="23"/>
      <c r="F239" s="12"/>
      <c r="G239" s="13"/>
    </row>
    <row r="240" spans="1:7" x14ac:dyDescent="0.2">
      <c r="B240" s="10"/>
      <c r="C240" s="16"/>
      <c r="D240" s="25"/>
      <c r="E240" s="10"/>
      <c r="F240" s="16"/>
      <c r="G240" s="17"/>
    </row>
    <row r="241" spans="1:7" ht="15.75" x14ac:dyDescent="0.25">
      <c r="A241" s="6"/>
      <c r="C241" s="12"/>
      <c r="D241" s="23"/>
      <c r="F241" s="12"/>
      <c r="G241" s="13"/>
    </row>
    <row r="242" spans="1:7" ht="15.75" x14ac:dyDescent="0.2">
      <c r="A242" s="4"/>
      <c r="C242" s="12"/>
      <c r="F242" s="12"/>
    </row>
    <row r="243" spans="1:7" x14ac:dyDescent="0.2">
      <c r="C243" s="12"/>
      <c r="F243" s="12"/>
    </row>
    <row r="244" spans="1:7" ht="15.75" x14ac:dyDescent="0.25">
      <c r="A244" s="6"/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C251" s="12"/>
      <c r="F251" s="12"/>
    </row>
    <row r="252" spans="1:7" x14ac:dyDescent="0.2">
      <c r="A252" s="10"/>
      <c r="B252" s="5"/>
      <c r="E252" s="5"/>
    </row>
    <row r="253" spans="1:7" x14ac:dyDescent="0.2">
      <c r="B253" s="5"/>
      <c r="C253" s="5"/>
      <c r="D253" s="24"/>
      <c r="E253" s="5"/>
      <c r="F253" s="5"/>
      <c r="G253" s="5"/>
    </row>
    <row r="254" spans="1:7" x14ac:dyDescent="0.2">
      <c r="D254" s="24"/>
      <c r="G254" s="5"/>
    </row>
    <row r="256" spans="1:7" x14ac:dyDescent="0.2">
      <c r="C256" s="12"/>
      <c r="D256" s="23"/>
      <c r="F256" s="12"/>
      <c r="G256" s="13"/>
    </row>
    <row r="257" spans="1:7" x14ac:dyDescent="0.2"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x14ac:dyDescent="0.2">
      <c r="C259" s="12"/>
      <c r="D259" s="23"/>
      <c r="F259" s="12"/>
      <c r="G259" s="13"/>
    </row>
    <row r="260" spans="1:7" x14ac:dyDescent="0.2">
      <c r="C260" s="12"/>
      <c r="D260" s="23"/>
      <c r="F260" s="12"/>
      <c r="G260" s="13"/>
    </row>
    <row r="261" spans="1:7" x14ac:dyDescent="0.2">
      <c r="C261" s="12"/>
      <c r="D261" s="23"/>
      <c r="F261" s="12"/>
      <c r="G261" s="13"/>
    </row>
    <row r="262" spans="1:7" x14ac:dyDescent="0.2">
      <c r="B262" s="10"/>
      <c r="C262" s="16"/>
      <c r="D262" s="25"/>
      <c r="E262" s="10"/>
      <c r="F262" s="16"/>
      <c r="G262" s="17"/>
    </row>
    <row r="263" spans="1:7" ht="15.75" x14ac:dyDescent="0.25">
      <c r="A263" s="15"/>
      <c r="C263" s="12"/>
      <c r="D263" s="23"/>
      <c r="F263" s="12"/>
      <c r="G263" s="13"/>
    </row>
    <row r="264" spans="1:7" ht="15.75" x14ac:dyDescent="0.25">
      <c r="A264" s="6"/>
      <c r="C264" s="12"/>
      <c r="D264" s="23"/>
      <c r="F264" s="12"/>
      <c r="G264" s="13"/>
    </row>
    <row r="265" spans="1:7" ht="15.75" x14ac:dyDescent="0.25">
      <c r="A265" s="8"/>
      <c r="C265" s="12"/>
      <c r="D265" s="23"/>
      <c r="F265" s="12"/>
      <c r="G265" s="13"/>
    </row>
    <row r="266" spans="1:7" x14ac:dyDescent="0.2">
      <c r="C266" s="12"/>
      <c r="D266" s="23"/>
      <c r="F266" s="12"/>
      <c r="G266" s="13"/>
    </row>
    <row r="267" spans="1:7" x14ac:dyDescent="0.2">
      <c r="A267" s="10"/>
      <c r="C267" s="12"/>
      <c r="D267" s="23"/>
      <c r="F267" s="12"/>
      <c r="G267" s="13"/>
    </row>
    <row r="268" spans="1:7" x14ac:dyDescent="0.2">
      <c r="C268" s="12"/>
      <c r="D268" s="23"/>
      <c r="F268" s="12"/>
      <c r="G268" s="13"/>
    </row>
    <row r="269" spans="1:7" x14ac:dyDescent="0.2">
      <c r="A269" s="10"/>
      <c r="C269" s="12"/>
      <c r="D269" s="23"/>
      <c r="F269" s="12"/>
      <c r="G269" s="13"/>
    </row>
    <row r="270" spans="1:7" x14ac:dyDescent="0.2">
      <c r="C270" s="12"/>
      <c r="D270" s="23"/>
      <c r="F270" s="12"/>
      <c r="G270" s="13"/>
    </row>
    <row r="271" spans="1:7" ht="15.75" x14ac:dyDescent="0.25">
      <c r="A271" s="15"/>
      <c r="C271" s="12"/>
      <c r="D271" s="23"/>
      <c r="F271" s="12"/>
      <c r="G271" s="13"/>
    </row>
    <row r="272" spans="1:7" ht="15.75" x14ac:dyDescent="0.25">
      <c r="A272" s="15"/>
      <c r="C272" s="12"/>
      <c r="D272" s="23"/>
      <c r="F272" s="12"/>
      <c r="G272" s="13"/>
    </row>
    <row r="273" spans="1:7" ht="15.75" x14ac:dyDescent="0.25">
      <c r="A273" s="15"/>
      <c r="C273" s="12"/>
      <c r="F273" s="12"/>
    </row>
    <row r="274" spans="1:7" x14ac:dyDescent="0.2">
      <c r="C274" s="12"/>
      <c r="F274" s="12"/>
    </row>
    <row r="275" spans="1:7" x14ac:dyDescent="0.2">
      <c r="C275" s="12"/>
      <c r="F275" s="12"/>
    </row>
    <row r="276" spans="1:7" x14ac:dyDescent="0.2">
      <c r="C276" s="12"/>
      <c r="D276" s="23"/>
      <c r="F276" s="12"/>
      <c r="G276" s="13"/>
    </row>
    <row r="277" spans="1:7" x14ac:dyDescent="0.2">
      <c r="B277" s="10"/>
      <c r="C277" s="16"/>
      <c r="D277" s="25"/>
      <c r="E277" s="10"/>
      <c r="F277" s="16"/>
      <c r="G277" s="17"/>
    </row>
    <row r="278" spans="1:7" ht="15.75" x14ac:dyDescent="0.25">
      <c r="A278" s="6"/>
      <c r="C278" s="12"/>
      <c r="D278" s="23"/>
      <c r="F278" s="12"/>
      <c r="G278" s="13"/>
    </row>
    <row r="279" spans="1:7" x14ac:dyDescent="0.2">
      <c r="B279" s="10"/>
      <c r="C279" s="16"/>
      <c r="D279" s="25"/>
      <c r="E279" s="10"/>
      <c r="F279" s="16"/>
      <c r="G279" s="17"/>
    </row>
    <row r="280" spans="1:7" ht="15.75" x14ac:dyDescent="0.25">
      <c r="A280" s="6"/>
      <c r="C280" s="12"/>
      <c r="D280" s="23"/>
      <c r="F280" s="12"/>
      <c r="G280" s="13"/>
    </row>
    <row r="281" spans="1:7" ht="15.75" x14ac:dyDescent="0.25">
      <c r="A281" s="6"/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5"/>
      <c r="E291" s="5"/>
    </row>
    <row r="292" spans="2:7" x14ac:dyDescent="0.2">
      <c r="B292" s="5"/>
      <c r="C292" s="5"/>
      <c r="D292" s="24"/>
      <c r="E292" s="5"/>
      <c r="F292" s="5"/>
      <c r="G292" s="5"/>
    </row>
    <row r="293" spans="2:7" x14ac:dyDescent="0.2">
      <c r="D293" s="24"/>
      <c r="G293" s="5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B301" s="10"/>
      <c r="C301" s="16"/>
      <c r="D301" s="26"/>
      <c r="E301" s="10"/>
      <c r="F301" s="16"/>
      <c r="G301" s="10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B316" s="10"/>
      <c r="C316" s="16"/>
      <c r="D316" s="26"/>
      <c r="E316" s="10"/>
      <c r="F316" s="16"/>
      <c r="G316" s="10"/>
    </row>
    <row r="317" spans="2:7" x14ac:dyDescent="0.2">
      <c r="C317" s="12"/>
      <c r="F317" s="12"/>
    </row>
    <row r="318" spans="2:7" x14ac:dyDescent="0.2">
      <c r="B318" s="10"/>
      <c r="C318" s="16"/>
      <c r="D318" s="27"/>
      <c r="E318" s="10"/>
      <c r="F318" s="16"/>
      <c r="G318" s="18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29" spans="3:7" x14ac:dyDescent="0.2">
      <c r="C329" s="12"/>
      <c r="F329" s="12"/>
    </row>
    <row r="334" spans="3:7" x14ac:dyDescent="0.2">
      <c r="D334" s="28"/>
      <c r="G334" s="12"/>
    </row>
    <row r="335" spans="3:7" x14ac:dyDescent="0.2">
      <c r="D335" s="28"/>
      <c r="G335" s="12"/>
    </row>
    <row r="336" spans="3:7" x14ac:dyDescent="0.2">
      <c r="D336" s="28"/>
      <c r="G336" s="12"/>
    </row>
    <row r="337" spans="4:7" x14ac:dyDescent="0.2">
      <c r="D337" s="28"/>
      <c r="G337" s="12"/>
    </row>
    <row r="338" spans="4:7" x14ac:dyDescent="0.2">
      <c r="D338" s="28"/>
      <c r="G338" s="12"/>
    </row>
    <row r="339" spans="4:7" x14ac:dyDescent="0.2">
      <c r="D339" s="28"/>
      <c r="G339" s="12"/>
    </row>
    <row r="340" spans="4:7" x14ac:dyDescent="0.2">
      <c r="D340" s="28"/>
      <c r="G340" s="12"/>
    </row>
    <row r="341" spans="4:7" x14ac:dyDescent="0.2">
      <c r="D341" s="28"/>
      <c r="G341" s="12"/>
    </row>
    <row r="342" spans="4:7" x14ac:dyDescent="0.2">
      <c r="D342" s="28"/>
      <c r="G342" s="12"/>
    </row>
    <row r="343" spans="4:7" x14ac:dyDescent="0.2">
      <c r="D343" s="28"/>
      <c r="G343" s="12"/>
    </row>
    <row r="344" spans="4:7" x14ac:dyDescent="0.2">
      <c r="D344" s="28"/>
      <c r="G344" s="12"/>
    </row>
    <row r="345" spans="4:7" x14ac:dyDescent="0.2">
      <c r="D345" s="28"/>
      <c r="G345" s="12"/>
    </row>
    <row r="346" spans="4:7" x14ac:dyDescent="0.2">
      <c r="D346" s="28"/>
      <c r="G346" s="12"/>
    </row>
  </sheetData>
  <mergeCells count="5">
    <mergeCell ref="B83:C83"/>
    <mergeCell ref="A85:I85"/>
    <mergeCell ref="A86:I86"/>
    <mergeCell ref="A2:A3"/>
    <mergeCell ref="B2:G2"/>
  </mergeCells>
  <phoneticPr fontId="15" type="noConversion"/>
  <pageMargins left="0.86" right="0.81" top="0.73" bottom="0.83" header="0.71" footer="0.8"/>
  <pageSetup scale="60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47"/>
  <sheetViews>
    <sheetView topLeftCell="A61" zoomScale="70" zoomScaleNormal="70" workbookViewId="0">
      <selection activeCell="A87" sqref="A87"/>
    </sheetView>
  </sheetViews>
  <sheetFormatPr defaultColWidth="11.5" defaultRowHeight="15" x14ac:dyDescent="0.2"/>
  <cols>
    <col min="1" max="1" width="53.5" style="1" customWidth="1"/>
    <col min="2" max="3" width="12" style="1" customWidth="1"/>
    <col min="4" max="4" width="12" style="22" customWidth="1"/>
    <col min="5" max="7" width="12" style="1" customWidth="1"/>
    <col min="8" max="8" width="11.83203125" style="1" customWidth="1"/>
    <col min="9" max="9" width="24.5" style="1" customWidth="1"/>
    <col min="10" max="10" width="5.83203125" style="1" customWidth="1"/>
    <col min="11" max="11" width="11.6640625" style="1" bestFit="1" customWidth="1"/>
    <col min="12" max="14" width="10.33203125" style="1" bestFit="1" customWidth="1"/>
    <col min="15" max="15" width="8.6640625" style="1" bestFit="1" customWidth="1"/>
    <col min="16" max="16" width="8.6640625" style="1" customWidth="1"/>
    <col min="17" max="16384" width="11.5" style="1"/>
  </cols>
  <sheetData>
    <row r="1" spans="1:17" s="20" customFormat="1" ht="30.75" customHeight="1" x14ac:dyDescent="0.3">
      <c r="A1" s="97" t="s">
        <v>65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  <c r="P1" s="84"/>
      <c r="Q1" s="84"/>
    </row>
    <row r="2" spans="1:17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  <c r="P2" s="84"/>
      <c r="Q2" s="84"/>
    </row>
    <row r="3" spans="1:17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  <c r="P3" s="84"/>
      <c r="Q3" s="84"/>
    </row>
    <row r="4" spans="1:17" s="37" customFormat="1" ht="17.100000000000001" customHeight="1" x14ac:dyDescent="0.25">
      <c r="A4" s="32" t="s">
        <v>56</v>
      </c>
      <c r="B4" s="33">
        <f t="shared" ref="B4:G4" si="0">SUM(B5:B9)</f>
        <v>2718</v>
      </c>
      <c r="C4" s="34">
        <f t="shared" si="0"/>
        <v>2197</v>
      </c>
      <c r="D4" s="31">
        <f t="shared" si="0"/>
        <v>4974</v>
      </c>
      <c r="E4" s="34">
        <f t="shared" si="0"/>
        <v>2550</v>
      </c>
      <c r="F4" s="31">
        <f t="shared" si="0"/>
        <v>609</v>
      </c>
      <c r="G4" s="35">
        <f t="shared" si="0"/>
        <v>354</v>
      </c>
      <c r="H4" s="36">
        <f>SUM(B4:G4)</f>
        <v>13402</v>
      </c>
      <c r="I4" s="62">
        <f t="shared" ref="I4:I13" si="1">H4/B$83 * 100000</f>
        <v>552.19594921709063</v>
      </c>
      <c r="J4" s="38"/>
      <c r="K4" s="86"/>
      <c r="L4" s="86"/>
      <c r="M4" s="86"/>
      <c r="N4" s="84"/>
      <c r="O4" s="84"/>
      <c r="P4" s="84"/>
      <c r="Q4" s="84"/>
    </row>
    <row r="5" spans="1:17" ht="17.100000000000001" customHeight="1" x14ac:dyDescent="0.25">
      <c r="A5" s="159" t="s">
        <v>17</v>
      </c>
      <c r="B5" s="102">
        <v>2651</v>
      </c>
      <c r="C5" s="103">
        <v>1973</v>
      </c>
      <c r="D5" s="104">
        <v>4620</v>
      </c>
      <c r="E5" s="103">
        <v>2459</v>
      </c>
      <c r="F5" s="104">
        <v>603</v>
      </c>
      <c r="G5" s="105">
        <v>352</v>
      </c>
      <c r="H5" s="106">
        <f t="shared" ref="H5:H68" si="2">SUM(B5:G5)</f>
        <v>12658</v>
      </c>
      <c r="I5" s="107">
        <f t="shared" si="1"/>
        <v>521.54128676241851</v>
      </c>
      <c r="K5" s="84"/>
      <c r="L5" s="84"/>
      <c r="M5" s="84"/>
      <c r="N5" s="84"/>
      <c r="O5" s="84"/>
      <c r="P5" s="84"/>
      <c r="Q5" s="84"/>
    </row>
    <row r="6" spans="1:17" ht="17.100000000000001" customHeight="1" x14ac:dyDescent="0.25">
      <c r="A6" s="159" t="s">
        <v>18</v>
      </c>
      <c r="B6" s="102">
        <v>28</v>
      </c>
      <c r="C6" s="103">
        <v>42</v>
      </c>
      <c r="D6" s="104">
        <v>92</v>
      </c>
      <c r="E6" s="103">
        <v>21</v>
      </c>
      <c r="F6" s="104">
        <v>3</v>
      </c>
      <c r="G6" s="105">
        <v>1</v>
      </c>
      <c r="H6" s="106">
        <f t="shared" si="2"/>
        <v>187</v>
      </c>
      <c r="I6" s="107">
        <f t="shared" si="1"/>
        <v>7.7048681169673143</v>
      </c>
      <c r="K6" s="84"/>
      <c r="L6" s="84"/>
      <c r="M6" s="84"/>
      <c r="N6" s="84"/>
      <c r="O6" s="84"/>
      <c r="P6" s="84"/>
      <c r="Q6" s="84"/>
    </row>
    <row r="7" spans="1:17" ht="17.100000000000001" customHeight="1" x14ac:dyDescent="0.25">
      <c r="A7" s="159" t="s">
        <v>19</v>
      </c>
      <c r="B7" s="102">
        <v>35</v>
      </c>
      <c r="C7" s="103">
        <v>175</v>
      </c>
      <c r="D7" s="104">
        <v>253</v>
      </c>
      <c r="E7" s="103">
        <v>65</v>
      </c>
      <c r="F7" s="104">
        <v>3</v>
      </c>
      <c r="G7" s="105">
        <v>1</v>
      </c>
      <c r="H7" s="106">
        <f t="shared" si="2"/>
        <v>532</v>
      </c>
      <c r="I7" s="107">
        <f t="shared" si="1"/>
        <v>21.919731755222521</v>
      </c>
      <c r="K7" s="84"/>
      <c r="L7" s="84"/>
      <c r="M7" s="84"/>
      <c r="N7" s="84"/>
      <c r="O7" s="84"/>
      <c r="P7" s="84"/>
      <c r="Q7" s="84"/>
    </row>
    <row r="8" spans="1:17" ht="17.100000000000001" customHeight="1" x14ac:dyDescent="0.25">
      <c r="A8" s="159" t="s">
        <v>38</v>
      </c>
      <c r="B8" s="108">
        <v>2</v>
      </c>
      <c r="C8" s="109">
        <v>0</v>
      </c>
      <c r="D8" s="110">
        <v>2</v>
      </c>
      <c r="E8" s="109">
        <v>1</v>
      </c>
      <c r="F8" s="110">
        <v>0</v>
      </c>
      <c r="G8" s="111">
        <v>0</v>
      </c>
      <c r="H8" s="106">
        <f t="shared" si="2"/>
        <v>5</v>
      </c>
      <c r="I8" s="114">
        <f t="shared" si="1"/>
        <v>0.20601251649645225</v>
      </c>
      <c r="K8" s="84"/>
      <c r="L8" s="84"/>
      <c r="M8" s="84"/>
      <c r="N8" s="84"/>
      <c r="O8" s="84"/>
      <c r="P8" s="84"/>
      <c r="Q8" s="84"/>
    </row>
    <row r="9" spans="1:17" ht="17.100000000000001" customHeight="1" x14ac:dyDescent="0.25">
      <c r="A9" s="160" t="s">
        <v>20</v>
      </c>
      <c r="B9" s="108">
        <v>2</v>
      </c>
      <c r="C9" s="109">
        <v>7</v>
      </c>
      <c r="D9" s="110">
        <v>7</v>
      </c>
      <c r="E9" s="109">
        <v>4</v>
      </c>
      <c r="F9" s="110">
        <v>0</v>
      </c>
      <c r="G9" s="111">
        <v>0</v>
      </c>
      <c r="H9" s="112">
        <f>SUM(B9:G9)</f>
        <v>20</v>
      </c>
      <c r="I9" s="113">
        <f t="shared" si="1"/>
        <v>0.82405006598580899</v>
      </c>
      <c r="K9" s="84"/>
      <c r="L9" s="84"/>
      <c r="M9" s="84"/>
      <c r="N9" s="84"/>
      <c r="O9" s="84"/>
      <c r="P9" s="84"/>
      <c r="Q9" s="84"/>
    </row>
    <row r="10" spans="1:17" ht="17.100000000000001" customHeight="1" x14ac:dyDescent="0.25">
      <c r="A10" s="32" t="s">
        <v>61</v>
      </c>
      <c r="B10" s="33">
        <f t="shared" ref="B10:G10" si="3">SUM(B11:B15)</f>
        <v>33</v>
      </c>
      <c r="C10" s="34">
        <f t="shared" si="3"/>
        <v>7</v>
      </c>
      <c r="D10" s="31">
        <f t="shared" si="3"/>
        <v>13</v>
      </c>
      <c r="E10" s="34">
        <f t="shared" si="3"/>
        <v>3</v>
      </c>
      <c r="F10" s="31">
        <f t="shared" si="3"/>
        <v>3</v>
      </c>
      <c r="G10" s="35">
        <f t="shared" si="3"/>
        <v>1</v>
      </c>
      <c r="H10" s="36">
        <f t="shared" si="2"/>
        <v>60</v>
      </c>
      <c r="I10" s="62">
        <f t="shared" si="1"/>
        <v>2.472150197957427</v>
      </c>
      <c r="J10" s="37"/>
      <c r="K10" s="84"/>
      <c r="L10" s="84"/>
      <c r="M10" s="84"/>
      <c r="N10" s="84"/>
      <c r="O10" s="84"/>
      <c r="P10" s="84"/>
      <c r="Q10" s="84"/>
    </row>
    <row r="11" spans="1:17" ht="17.100000000000001" customHeight="1" x14ac:dyDescent="0.25">
      <c r="A11" s="159" t="s">
        <v>17</v>
      </c>
      <c r="B11" s="102">
        <v>31</v>
      </c>
      <c r="C11" s="103">
        <v>6</v>
      </c>
      <c r="D11" s="104">
        <v>12</v>
      </c>
      <c r="E11" s="103">
        <v>3</v>
      </c>
      <c r="F11" s="104">
        <v>2</v>
      </c>
      <c r="G11" s="105">
        <v>1</v>
      </c>
      <c r="H11" s="106">
        <f t="shared" si="2"/>
        <v>55</v>
      </c>
      <c r="I11" s="107">
        <f t="shared" si="1"/>
        <v>2.2661376814609748</v>
      </c>
      <c r="J11" s="30"/>
      <c r="K11" s="84"/>
      <c r="L11" s="84"/>
      <c r="M11" s="84"/>
      <c r="N11" s="84"/>
      <c r="O11" s="84"/>
      <c r="P11" s="84"/>
      <c r="Q11" s="84"/>
    </row>
    <row r="12" spans="1:17" ht="17.100000000000001" customHeight="1" x14ac:dyDescent="0.25">
      <c r="A12" s="159" t="s">
        <v>18</v>
      </c>
      <c r="B12" s="102">
        <v>0</v>
      </c>
      <c r="C12" s="103">
        <v>1</v>
      </c>
      <c r="D12" s="104">
        <v>1</v>
      </c>
      <c r="E12" s="103">
        <v>0</v>
      </c>
      <c r="F12" s="104">
        <v>1</v>
      </c>
      <c r="G12" s="105">
        <v>0</v>
      </c>
      <c r="H12" s="106">
        <f>SUM(B12:G12)</f>
        <v>3</v>
      </c>
      <c r="I12" s="114">
        <f t="shared" si="1"/>
        <v>0.12360750989787135</v>
      </c>
      <c r="J12" s="30"/>
      <c r="K12" s="84"/>
      <c r="L12" s="84"/>
      <c r="M12" s="84"/>
      <c r="N12" s="84"/>
      <c r="O12" s="84"/>
      <c r="P12" s="84"/>
      <c r="Q12" s="84"/>
    </row>
    <row r="13" spans="1:17" s="37" customFormat="1" ht="17.100000000000001" customHeight="1" x14ac:dyDescent="0.25">
      <c r="A13" s="159" t="s">
        <v>19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  <c r="J13" s="30"/>
      <c r="K13" s="84"/>
      <c r="L13" s="84"/>
      <c r="M13" s="84"/>
      <c r="N13" s="84"/>
      <c r="O13" s="84"/>
      <c r="P13" s="84"/>
      <c r="Q13" s="84"/>
    </row>
    <row r="14" spans="1:17" s="30" customFormat="1" ht="17.100000000000001" customHeight="1" x14ac:dyDescent="0.25">
      <c r="A14" s="159" t="s">
        <v>20</v>
      </c>
      <c r="B14" s="102">
        <v>0</v>
      </c>
      <c r="C14" s="103">
        <v>0</v>
      </c>
      <c r="D14" s="104">
        <v>0</v>
      </c>
      <c r="E14" s="103">
        <v>0</v>
      </c>
      <c r="F14" s="104">
        <v>0</v>
      </c>
      <c r="G14" s="105">
        <v>0</v>
      </c>
      <c r="H14" s="106">
        <f>SUM(B14:G14)</f>
        <v>0</v>
      </c>
      <c r="I14" s="156" t="e">
        <f>H14/#REF! * 100000</f>
        <v>#REF!</v>
      </c>
      <c r="J14" s="157"/>
    </row>
    <row r="15" spans="1:17" s="30" customFormat="1" ht="17.100000000000001" customHeight="1" x14ac:dyDescent="0.25">
      <c r="A15" s="160" t="s">
        <v>40</v>
      </c>
      <c r="B15" s="115">
        <v>2</v>
      </c>
      <c r="C15" s="116">
        <v>0</v>
      </c>
      <c r="D15" s="117">
        <v>0</v>
      </c>
      <c r="E15" s="116">
        <v>0</v>
      </c>
      <c r="F15" s="117">
        <v>0</v>
      </c>
      <c r="G15" s="118">
        <v>0</v>
      </c>
      <c r="H15" s="119">
        <f t="shared" si="2"/>
        <v>2</v>
      </c>
      <c r="I15" s="151">
        <f t="shared" ref="I15:I46" si="4">H15/B$83 * 100000</f>
        <v>8.2405006598580896E-2</v>
      </c>
      <c r="J15" s="1"/>
      <c r="K15" s="84"/>
      <c r="L15" s="84"/>
      <c r="M15" s="84"/>
      <c r="N15" s="84"/>
      <c r="O15" s="84"/>
      <c r="P15" s="84"/>
      <c r="Q15" s="84"/>
    </row>
    <row r="16" spans="1:17" s="30" customFormat="1" ht="17.100000000000001" customHeight="1" x14ac:dyDescent="0.25">
      <c r="A16" s="32" t="s">
        <v>49</v>
      </c>
      <c r="B16" s="33">
        <f t="shared" ref="B16:G16" si="5">SUM(B17:B20)</f>
        <v>16859</v>
      </c>
      <c r="C16" s="34">
        <f t="shared" si="5"/>
        <v>2180</v>
      </c>
      <c r="D16" s="31">
        <f t="shared" si="5"/>
        <v>6128</v>
      </c>
      <c r="E16" s="34">
        <f t="shared" si="5"/>
        <v>6471</v>
      </c>
      <c r="F16" s="31">
        <f t="shared" si="5"/>
        <v>2913</v>
      </c>
      <c r="G16" s="35">
        <f t="shared" si="5"/>
        <v>5342</v>
      </c>
      <c r="H16" s="36">
        <f t="shared" si="2"/>
        <v>39893</v>
      </c>
      <c r="I16" s="75">
        <f t="shared" si="4"/>
        <v>1643.6914641185942</v>
      </c>
      <c r="J16" s="37"/>
      <c r="K16" s="84"/>
      <c r="L16" s="84"/>
      <c r="M16" s="84"/>
      <c r="N16" s="84"/>
      <c r="O16" s="84"/>
      <c r="P16" s="84"/>
      <c r="Q16" s="84"/>
    </row>
    <row r="17" spans="1:17" s="30" customFormat="1" ht="17.100000000000001" customHeight="1" x14ac:dyDescent="0.25">
      <c r="A17" s="159" t="s">
        <v>17</v>
      </c>
      <c r="B17" s="102">
        <v>16847</v>
      </c>
      <c r="C17" s="103">
        <v>2177</v>
      </c>
      <c r="D17" s="104">
        <v>6117</v>
      </c>
      <c r="E17" s="103">
        <v>6468</v>
      </c>
      <c r="F17" s="104">
        <v>2913</v>
      </c>
      <c r="G17" s="105">
        <v>5341</v>
      </c>
      <c r="H17" s="106">
        <f t="shared" si="2"/>
        <v>39863</v>
      </c>
      <c r="I17" s="121">
        <f t="shared" si="4"/>
        <v>1642.4553890196155</v>
      </c>
      <c r="K17" s="84"/>
      <c r="L17" s="84"/>
      <c r="M17" s="84"/>
      <c r="N17" s="84"/>
      <c r="O17" s="84"/>
      <c r="P17" s="84"/>
      <c r="Q17" s="84"/>
    </row>
    <row r="18" spans="1:17" s="30" customFormat="1" ht="17.100000000000001" customHeight="1" x14ac:dyDescent="0.25">
      <c r="A18" s="159" t="s">
        <v>18</v>
      </c>
      <c r="B18" s="102">
        <v>0</v>
      </c>
      <c r="C18" s="103">
        <v>1</v>
      </c>
      <c r="D18" s="104">
        <v>1</v>
      </c>
      <c r="E18" s="103">
        <v>2</v>
      </c>
      <c r="F18" s="104">
        <v>0</v>
      </c>
      <c r="G18" s="105">
        <v>1</v>
      </c>
      <c r="H18" s="106">
        <f t="shared" si="2"/>
        <v>5</v>
      </c>
      <c r="I18" s="122">
        <f t="shared" si="4"/>
        <v>0.20601251649645225</v>
      </c>
      <c r="K18" s="84"/>
      <c r="L18" s="84"/>
      <c r="M18" s="84"/>
      <c r="N18" s="84"/>
      <c r="O18" s="84"/>
      <c r="P18" s="84"/>
      <c r="Q18" s="84"/>
    </row>
    <row r="19" spans="1:17" ht="17.100000000000001" customHeight="1" x14ac:dyDescent="0.25">
      <c r="A19" s="159" t="s">
        <v>19</v>
      </c>
      <c r="B19" s="102">
        <v>2</v>
      </c>
      <c r="C19" s="103">
        <v>0</v>
      </c>
      <c r="D19" s="104">
        <v>0</v>
      </c>
      <c r="E19" s="103">
        <v>0</v>
      </c>
      <c r="F19" s="104">
        <v>0</v>
      </c>
      <c r="G19" s="105">
        <v>0</v>
      </c>
      <c r="H19" s="106">
        <f>SUM(B19:G19)</f>
        <v>2</v>
      </c>
      <c r="I19" s="122">
        <f t="shared" si="4"/>
        <v>8.2405006598580896E-2</v>
      </c>
      <c r="J19" s="30"/>
      <c r="K19" s="84"/>
      <c r="L19" s="84"/>
      <c r="M19" s="84"/>
      <c r="N19" s="84"/>
      <c r="O19" s="84"/>
      <c r="P19" s="84"/>
      <c r="Q19" s="84"/>
    </row>
    <row r="20" spans="1:17" s="37" customFormat="1" ht="17.100000000000001" customHeight="1" x14ac:dyDescent="0.25">
      <c r="A20" s="161" t="s">
        <v>20</v>
      </c>
      <c r="B20" s="115">
        <v>10</v>
      </c>
      <c r="C20" s="116">
        <v>2</v>
      </c>
      <c r="D20" s="117">
        <v>10</v>
      </c>
      <c r="E20" s="116">
        <v>1</v>
      </c>
      <c r="F20" s="117">
        <v>0</v>
      </c>
      <c r="G20" s="118">
        <v>0</v>
      </c>
      <c r="H20" s="119">
        <f>SUM(B20:G20)</f>
        <v>23</v>
      </c>
      <c r="I20" s="123">
        <f t="shared" si="4"/>
        <v>0.94765757588368038</v>
      </c>
      <c r="J20" s="30"/>
      <c r="K20" s="84"/>
      <c r="L20" s="84"/>
      <c r="M20" s="84"/>
      <c r="N20" s="84"/>
      <c r="O20" s="84"/>
      <c r="P20" s="84"/>
      <c r="Q20" s="84"/>
    </row>
    <row r="21" spans="1:17" s="30" customFormat="1" ht="17.100000000000001" customHeight="1" x14ac:dyDescent="0.25">
      <c r="A21" s="162" t="s">
        <v>50</v>
      </c>
      <c r="B21" s="33">
        <f t="shared" ref="B21:G21" si="6">SUM(B22:B25)</f>
        <v>65</v>
      </c>
      <c r="C21" s="34">
        <f t="shared" si="6"/>
        <v>38</v>
      </c>
      <c r="D21" s="31">
        <f t="shared" si="6"/>
        <v>124</v>
      </c>
      <c r="E21" s="34">
        <f t="shared" si="6"/>
        <v>55</v>
      </c>
      <c r="F21" s="31">
        <f t="shared" si="6"/>
        <v>12</v>
      </c>
      <c r="G21" s="35">
        <f t="shared" si="6"/>
        <v>7</v>
      </c>
      <c r="H21" s="124">
        <f t="shared" si="2"/>
        <v>301</v>
      </c>
      <c r="I21" s="125">
        <f t="shared" si="4"/>
        <v>12.401953493086426</v>
      </c>
      <c r="K21" s="84"/>
      <c r="L21" s="84"/>
      <c r="M21" s="84"/>
      <c r="N21" s="84"/>
      <c r="O21" s="84"/>
      <c r="P21" s="84"/>
      <c r="Q21" s="84"/>
    </row>
    <row r="22" spans="1:17" s="30" customFormat="1" ht="17.100000000000001" customHeight="1" x14ac:dyDescent="0.25">
      <c r="A22" s="159" t="s">
        <v>17</v>
      </c>
      <c r="B22" s="102">
        <v>63</v>
      </c>
      <c r="C22" s="103">
        <v>36</v>
      </c>
      <c r="D22" s="104">
        <v>116</v>
      </c>
      <c r="E22" s="103">
        <v>54</v>
      </c>
      <c r="F22" s="104">
        <v>12</v>
      </c>
      <c r="G22" s="105">
        <v>7</v>
      </c>
      <c r="H22" s="106">
        <f t="shared" si="2"/>
        <v>288</v>
      </c>
      <c r="I22" s="121">
        <f t="shared" si="4"/>
        <v>11.86632095019565</v>
      </c>
      <c r="K22" s="84"/>
      <c r="L22" s="84"/>
      <c r="M22" s="84"/>
      <c r="N22" s="84"/>
      <c r="O22" s="84"/>
      <c r="P22" s="84"/>
      <c r="Q22" s="84"/>
    </row>
    <row r="23" spans="1:17" s="30" customFormat="1" ht="17.100000000000001" customHeight="1" x14ac:dyDescent="0.25">
      <c r="A23" s="159" t="s">
        <v>18</v>
      </c>
      <c r="B23" s="102">
        <v>0</v>
      </c>
      <c r="C23" s="103">
        <v>0</v>
      </c>
      <c r="D23" s="104">
        <v>1</v>
      </c>
      <c r="E23" s="103">
        <v>0</v>
      </c>
      <c r="F23" s="104">
        <v>0</v>
      </c>
      <c r="G23" s="105">
        <v>0</v>
      </c>
      <c r="H23" s="106">
        <f t="shared" si="2"/>
        <v>1</v>
      </c>
      <c r="I23" s="122">
        <f t="shared" si="4"/>
        <v>4.1202503299290448E-2</v>
      </c>
      <c r="K23" s="84"/>
      <c r="L23" s="84"/>
      <c r="M23" s="84"/>
      <c r="N23" s="84"/>
      <c r="O23" s="84"/>
      <c r="P23" s="84"/>
      <c r="Q23" s="84"/>
    </row>
    <row r="24" spans="1:17" s="30" customFormat="1" ht="17.100000000000001" customHeight="1" x14ac:dyDescent="0.25">
      <c r="A24" s="159" t="s">
        <v>19</v>
      </c>
      <c r="B24" s="102">
        <v>0</v>
      </c>
      <c r="C24" s="103">
        <v>1</v>
      </c>
      <c r="D24" s="104">
        <v>3</v>
      </c>
      <c r="E24" s="103">
        <v>0</v>
      </c>
      <c r="F24" s="104">
        <v>0</v>
      </c>
      <c r="G24" s="105">
        <v>0</v>
      </c>
      <c r="H24" s="106">
        <f t="shared" si="2"/>
        <v>4</v>
      </c>
      <c r="I24" s="122">
        <f t="shared" si="4"/>
        <v>0.16481001319716179</v>
      </c>
      <c r="K24" s="84"/>
      <c r="L24" s="84"/>
      <c r="M24" s="84"/>
      <c r="N24" s="84"/>
      <c r="O24" s="84"/>
      <c r="P24" s="84"/>
      <c r="Q24" s="84"/>
    </row>
    <row r="25" spans="1:17" s="30" customFormat="1" ht="17.100000000000001" customHeight="1" x14ac:dyDescent="0.25">
      <c r="A25" s="161" t="s">
        <v>20</v>
      </c>
      <c r="B25" s="102">
        <v>2</v>
      </c>
      <c r="C25" s="103">
        <v>1</v>
      </c>
      <c r="D25" s="104">
        <v>4</v>
      </c>
      <c r="E25" s="103">
        <v>1</v>
      </c>
      <c r="F25" s="104">
        <v>0</v>
      </c>
      <c r="G25" s="105">
        <v>0</v>
      </c>
      <c r="H25" s="119">
        <f t="shared" si="2"/>
        <v>8</v>
      </c>
      <c r="I25" s="126">
        <f t="shared" si="4"/>
        <v>0.32962002639432358</v>
      </c>
      <c r="K25" s="84"/>
      <c r="L25" s="84"/>
      <c r="M25" s="84"/>
      <c r="N25" s="84"/>
      <c r="O25" s="84"/>
      <c r="P25" s="84"/>
      <c r="Q25" s="84"/>
    </row>
    <row r="26" spans="1:17" s="30" customFormat="1" ht="17.100000000000001" customHeight="1" x14ac:dyDescent="0.25">
      <c r="A26" s="162" t="s">
        <v>55</v>
      </c>
      <c r="B26" s="33">
        <f t="shared" ref="B26:G26" si="7">SUM(B27:B30)</f>
        <v>538</v>
      </c>
      <c r="C26" s="34">
        <f t="shared" si="7"/>
        <v>248</v>
      </c>
      <c r="D26" s="31">
        <f t="shared" si="7"/>
        <v>588</v>
      </c>
      <c r="E26" s="34">
        <f t="shared" si="7"/>
        <v>339</v>
      </c>
      <c r="F26" s="31">
        <f t="shared" si="7"/>
        <v>66</v>
      </c>
      <c r="G26" s="35">
        <f t="shared" si="7"/>
        <v>36</v>
      </c>
      <c r="H26" s="124">
        <f t="shared" si="2"/>
        <v>1815</v>
      </c>
      <c r="I26" s="125">
        <f t="shared" si="4"/>
        <v>74.78254348821217</v>
      </c>
      <c r="K26" s="84"/>
      <c r="L26" s="84"/>
      <c r="M26" s="84"/>
      <c r="N26" s="84"/>
      <c r="O26" s="84"/>
      <c r="P26" s="84"/>
      <c r="Q26" s="84"/>
    </row>
    <row r="27" spans="1:17" s="30" customFormat="1" ht="17.100000000000001" customHeight="1" x14ac:dyDescent="0.25">
      <c r="A27" s="159" t="s">
        <v>17</v>
      </c>
      <c r="B27" s="102">
        <v>535</v>
      </c>
      <c r="C27" s="103">
        <v>242</v>
      </c>
      <c r="D27" s="104">
        <v>583</v>
      </c>
      <c r="E27" s="103">
        <v>339</v>
      </c>
      <c r="F27" s="104">
        <v>66</v>
      </c>
      <c r="G27" s="105">
        <v>36</v>
      </c>
      <c r="H27" s="106">
        <f>SUM(B27:G27)</f>
        <v>1801</v>
      </c>
      <c r="I27" s="121">
        <f t="shared" si="4"/>
        <v>74.2057084420221</v>
      </c>
      <c r="K27" s="84"/>
      <c r="L27" s="84"/>
      <c r="M27" s="84"/>
      <c r="N27" s="84"/>
      <c r="O27" s="84"/>
      <c r="P27" s="84"/>
      <c r="Q27" s="84"/>
    </row>
    <row r="28" spans="1:17" s="30" customFormat="1" ht="17.100000000000001" customHeight="1" x14ac:dyDescent="0.25">
      <c r="A28" s="159" t="s">
        <v>18</v>
      </c>
      <c r="B28" s="102">
        <v>0</v>
      </c>
      <c r="C28" s="103">
        <v>0</v>
      </c>
      <c r="D28" s="104">
        <v>0</v>
      </c>
      <c r="E28" s="103">
        <v>0</v>
      </c>
      <c r="F28" s="104">
        <v>0</v>
      </c>
      <c r="G28" s="105">
        <v>0</v>
      </c>
      <c r="H28" s="106">
        <f>SUM(B28:G28)</f>
        <v>0</v>
      </c>
      <c r="I28" s="121">
        <f t="shared" si="4"/>
        <v>0</v>
      </c>
      <c r="K28" s="84"/>
      <c r="L28" s="84"/>
      <c r="M28" s="84"/>
      <c r="N28" s="84"/>
      <c r="O28" s="84"/>
      <c r="P28" s="84"/>
      <c r="Q28" s="84"/>
    </row>
    <row r="29" spans="1:17" s="30" customFormat="1" ht="17.100000000000001" customHeight="1" x14ac:dyDescent="0.25">
      <c r="A29" s="159" t="s">
        <v>19</v>
      </c>
      <c r="B29" s="102">
        <v>3</v>
      </c>
      <c r="C29" s="103">
        <v>4</v>
      </c>
      <c r="D29" s="104">
        <v>5</v>
      </c>
      <c r="E29" s="103">
        <v>0</v>
      </c>
      <c r="F29" s="104">
        <v>0</v>
      </c>
      <c r="G29" s="105">
        <v>0</v>
      </c>
      <c r="H29" s="106">
        <f>SUM(B29:G29)</f>
        <v>12</v>
      </c>
      <c r="I29" s="122">
        <f t="shared" si="4"/>
        <v>0.4944300395914854</v>
      </c>
      <c r="K29" s="84"/>
      <c r="L29" s="84"/>
      <c r="M29" s="84"/>
      <c r="N29" s="84"/>
      <c r="O29" s="84"/>
      <c r="P29" s="84"/>
      <c r="Q29" s="84"/>
    </row>
    <row r="30" spans="1:17" s="30" customFormat="1" ht="17.100000000000001" customHeight="1" x14ac:dyDescent="0.25">
      <c r="A30" s="160" t="s">
        <v>20</v>
      </c>
      <c r="B30" s="127">
        <v>0</v>
      </c>
      <c r="C30" s="128">
        <v>2</v>
      </c>
      <c r="D30" s="129">
        <v>0</v>
      </c>
      <c r="E30" s="128">
        <v>0</v>
      </c>
      <c r="F30" s="129">
        <v>0</v>
      </c>
      <c r="G30" s="130">
        <v>0</v>
      </c>
      <c r="H30" s="131">
        <f t="shared" si="2"/>
        <v>2</v>
      </c>
      <c r="I30" s="132">
        <f t="shared" si="4"/>
        <v>8.2405006598580896E-2</v>
      </c>
      <c r="J30" s="1"/>
      <c r="K30" s="84"/>
      <c r="L30" s="84"/>
      <c r="M30" s="84"/>
      <c r="N30" s="84"/>
      <c r="O30" s="84"/>
      <c r="P30" s="84"/>
      <c r="Q30" s="84"/>
    </row>
    <row r="31" spans="1:17" s="37" customFormat="1" ht="17.100000000000001" customHeight="1" x14ac:dyDescent="0.25">
      <c r="A31" s="32" t="s">
        <v>52</v>
      </c>
      <c r="B31" s="33">
        <f t="shared" ref="B31:G31" si="8">SUM(B32:B36)</f>
        <v>51</v>
      </c>
      <c r="C31" s="34">
        <f t="shared" si="8"/>
        <v>124</v>
      </c>
      <c r="D31" s="31">
        <f t="shared" si="8"/>
        <v>119</v>
      </c>
      <c r="E31" s="34">
        <f t="shared" si="8"/>
        <v>37</v>
      </c>
      <c r="F31" s="31">
        <f t="shared" si="8"/>
        <v>2</v>
      </c>
      <c r="G31" s="35">
        <f t="shared" si="8"/>
        <v>1</v>
      </c>
      <c r="H31" s="36">
        <f t="shared" si="2"/>
        <v>334</v>
      </c>
      <c r="I31" s="75">
        <f t="shared" si="4"/>
        <v>13.761636101963012</v>
      </c>
      <c r="K31" s="84"/>
      <c r="L31" s="84"/>
      <c r="M31" s="84"/>
      <c r="N31" s="84"/>
      <c r="O31" s="84"/>
      <c r="P31" s="84"/>
      <c r="Q31" s="84"/>
    </row>
    <row r="32" spans="1:17" s="30" customFormat="1" ht="17.100000000000001" customHeight="1" x14ac:dyDescent="0.25">
      <c r="A32" s="159" t="s">
        <v>17</v>
      </c>
      <c r="B32" s="102">
        <v>22</v>
      </c>
      <c r="C32" s="103">
        <v>39</v>
      </c>
      <c r="D32" s="104">
        <v>53</v>
      </c>
      <c r="E32" s="103">
        <v>8</v>
      </c>
      <c r="F32" s="104">
        <v>0</v>
      </c>
      <c r="G32" s="105">
        <v>1</v>
      </c>
      <c r="H32" s="106">
        <f t="shared" si="2"/>
        <v>123</v>
      </c>
      <c r="I32" s="121">
        <f t="shared" si="4"/>
        <v>5.0679079058127252</v>
      </c>
      <c r="K32" s="84"/>
      <c r="L32" s="84"/>
      <c r="M32" s="84"/>
      <c r="N32" s="84"/>
      <c r="O32" s="84"/>
      <c r="P32" s="84"/>
      <c r="Q32" s="84"/>
    </row>
    <row r="33" spans="1:17" s="30" customFormat="1" ht="17.100000000000001" customHeight="1" x14ac:dyDescent="0.25">
      <c r="A33" s="159" t="s">
        <v>18</v>
      </c>
      <c r="B33" s="102">
        <v>0</v>
      </c>
      <c r="C33" s="103">
        <v>0</v>
      </c>
      <c r="D33" s="104">
        <v>2</v>
      </c>
      <c r="E33" s="103">
        <v>1</v>
      </c>
      <c r="F33" s="104">
        <v>0</v>
      </c>
      <c r="G33" s="105">
        <v>0</v>
      </c>
      <c r="H33" s="106">
        <f t="shared" si="2"/>
        <v>3</v>
      </c>
      <c r="I33" s="122">
        <f t="shared" si="4"/>
        <v>0.12360750989787135</v>
      </c>
      <c r="K33" s="84"/>
      <c r="L33" s="84"/>
      <c r="M33" s="84"/>
      <c r="N33" s="84"/>
      <c r="O33" s="84"/>
      <c r="P33" s="84"/>
      <c r="Q33" s="84"/>
    </row>
    <row r="34" spans="1:17" s="30" customFormat="1" ht="17.100000000000001" customHeight="1" x14ac:dyDescent="0.25">
      <c r="A34" s="159" t="s">
        <v>19</v>
      </c>
      <c r="B34" s="102">
        <v>26</v>
      </c>
      <c r="C34" s="103">
        <v>71</v>
      </c>
      <c r="D34" s="104">
        <v>58</v>
      </c>
      <c r="E34" s="103">
        <v>24</v>
      </c>
      <c r="F34" s="104">
        <v>2</v>
      </c>
      <c r="G34" s="105">
        <v>0</v>
      </c>
      <c r="H34" s="106">
        <f t="shared" si="2"/>
        <v>181</v>
      </c>
      <c r="I34" s="121">
        <f t="shared" si="4"/>
        <v>7.4576530971715718</v>
      </c>
      <c r="K34" s="84"/>
      <c r="L34" s="84"/>
      <c r="M34" s="84"/>
      <c r="N34" s="84"/>
      <c r="O34" s="84"/>
      <c r="P34" s="84"/>
      <c r="Q34" s="84"/>
    </row>
    <row r="35" spans="1:17" ht="17.100000000000001" customHeight="1" x14ac:dyDescent="0.25">
      <c r="A35" s="159" t="s">
        <v>38</v>
      </c>
      <c r="B35" s="108">
        <v>0</v>
      </c>
      <c r="C35" s="109">
        <v>0</v>
      </c>
      <c r="D35" s="110">
        <v>1</v>
      </c>
      <c r="E35" s="109">
        <v>1</v>
      </c>
      <c r="F35" s="110">
        <v>0</v>
      </c>
      <c r="G35" s="111">
        <v>0</v>
      </c>
      <c r="H35" s="106">
        <f t="shared" si="2"/>
        <v>2</v>
      </c>
      <c r="I35" s="114">
        <f t="shared" si="4"/>
        <v>8.2405006598580896E-2</v>
      </c>
      <c r="K35" s="84"/>
      <c r="L35" s="84"/>
      <c r="M35" s="84"/>
      <c r="N35" s="84"/>
      <c r="O35" s="84"/>
      <c r="P35" s="84"/>
      <c r="Q35" s="84"/>
    </row>
    <row r="36" spans="1:17" s="30" customFormat="1" ht="17.100000000000001" customHeight="1" x14ac:dyDescent="0.25">
      <c r="A36" s="160" t="s">
        <v>20</v>
      </c>
      <c r="B36" s="102">
        <v>3</v>
      </c>
      <c r="C36" s="103">
        <v>14</v>
      </c>
      <c r="D36" s="104">
        <v>5</v>
      </c>
      <c r="E36" s="103">
        <v>3</v>
      </c>
      <c r="F36" s="104">
        <v>0</v>
      </c>
      <c r="G36" s="105">
        <v>0</v>
      </c>
      <c r="H36" s="106">
        <f t="shared" si="2"/>
        <v>25</v>
      </c>
      <c r="I36" s="121">
        <f t="shared" si="4"/>
        <v>1.0300625824822613</v>
      </c>
      <c r="K36" s="84"/>
      <c r="L36" s="84"/>
      <c r="M36" s="84"/>
      <c r="N36" s="84"/>
      <c r="O36" s="84"/>
      <c r="P36" s="84"/>
      <c r="Q36" s="84"/>
    </row>
    <row r="37" spans="1:17" s="30" customFormat="1" ht="17.100000000000001" customHeight="1" x14ac:dyDescent="0.25">
      <c r="A37" s="39" t="s">
        <v>12</v>
      </c>
      <c r="B37" s="40">
        <v>16</v>
      </c>
      <c r="C37" s="41">
        <v>55</v>
      </c>
      <c r="D37" s="42">
        <v>198</v>
      </c>
      <c r="E37" s="41">
        <v>138</v>
      </c>
      <c r="F37" s="42">
        <v>20</v>
      </c>
      <c r="G37" s="43">
        <v>5</v>
      </c>
      <c r="H37" s="44">
        <f t="shared" si="2"/>
        <v>432</v>
      </c>
      <c r="I37" s="76">
        <f t="shared" si="4"/>
        <v>17.799481425293475</v>
      </c>
      <c r="J37" s="37"/>
      <c r="K37" s="84"/>
      <c r="L37" s="84"/>
      <c r="M37" s="84"/>
      <c r="N37" s="84"/>
      <c r="O37" s="84"/>
      <c r="P37" s="84"/>
      <c r="Q37" s="84"/>
    </row>
    <row r="38" spans="1:17" s="30" customFormat="1" ht="17.100000000000001" customHeight="1" x14ac:dyDescent="0.25">
      <c r="A38" s="32" t="s">
        <v>54</v>
      </c>
      <c r="B38" s="33">
        <f>SUM(B39+B45+B46+B47)</f>
        <v>2656</v>
      </c>
      <c r="C38" s="34">
        <f t="shared" ref="C38:H38" si="9">SUM(C39+C45+C46+C47)</f>
        <v>3886</v>
      </c>
      <c r="D38" s="31">
        <f t="shared" si="9"/>
        <v>6373</v>
      </c>
      <c r="E38" s="34">
        <f t="shared" si="9"/>
        <v>3577</v>
      </c>
      <c r="F38" s="31">
        <f t="shared" si="9"/>
        <v>822</v>
      </c>
      <c r="G38" s="35">
        <f t="shared" si="9"/>
        <v>519</v>
      </c>
      <c r="H38" s="36">
        <f t="shared" si="9"/>
        <v>17833</v>
      </c>
      <c r="I38" s="75">
        <f t="shared" si="4"/>
        <v>734.76424133624664</v>
      </c>
      <c r="J38" s="37"/>
      <c r="K38" s="84"/>
      <c r="L38" s="84"/>
      <c r="M38" s="84"/>
      <c r="N38" s="84"/>
      <c r="O38" s="84"/>
      <c r="P38" s="84"/>
      <c r="Q38" s="84"/>
    </row>
    <row r="39" spans="1:17" s="30" customFormat="1" ht="17.100000000000001" customHeight="1" x14ac:dyDescent="0.25">
      <c r="A39" s="159" t="s">
        <v>17</v>
      </c>
      <c r="B39" s="102">
        <f t="shared" ref="B39:G39" si="10">SUM(B40:B44)</f>
        <v>2656</v>
      </c>
      <c r="C39" s="103">
        <f t="shared" si="10"/>
        <v>3884</v>
      </c>
      <c r="D39" s="104">
        <f t="shared" si="10"/>
        <v>6369</v>
      </c>
      <c r="E39" s="103">
        <f t="shared" si="10"/>
        <v>3574</v>
      </c>
      <c r="F39" s="104">
        <f t="shared" si="10"/>
        <v>821</v>
      </c>
      <c r="G39" s="105">
        <f t="shared" si="10"/>
        <v>519</v>
      </c>
      <c r="H39" s="106">
        <f t="shared" si="2"/>
        <v>17823</v>
      </c>
      <c r="I39" s="121">
        <f t="shared" si="4"/>
        <v>734.35221630325373</v>
      </c>
      <c r="K39" s="84"/>
      <c r="L39" s="84"/>
      <c r="M39" s="84"/>
      <c r="N39" s="84"/>
      <c r="O39" s="84"/>
      <c r="P39" s="84"/>
      <c r="Q39" s="84"/>
    </row>
    <row r="40" spans="1:17" s="30" customFormat="1" ht="17.100000000000001" customHeight="1" x14ac:dyDescent="0.25">
      <c r="A40" s="159" t="s">
        <v>24</v>
      </c>
      <c r="B40" s="102">
        <v>2058</v>
      </c>
      <c r="C40" s="103">
        <v>3045</v>
      </c>
      <c r="D40" s="104">
        <v>4984</v>
      </c>
      <c r="E40" s="103">
        <v>2782</v>
      </c>
      <c r="F40" s="104">
        <v>656</v>
      </c>
      <c r="G40" s="105">
        <v>407</v>
      </c>
      <c r="H40" s="106">
        <f t="shared" si="2"/>
        <v>13932</v>
      </c>
      <c r="I40" s="121">
        <f t="shared" si="4"/>
        <v>574.03327596571467</v>
      </c>
      <c r="K40" s="84"/>
      <c r="L40" s="84"/>
      <c r="M40" s="84"/>
      <c r="N40" s="84"/>
      <c r="O40" s="84"/>
      <c r="P40" s="84"/>
      <c r="Q40" s="84"/>
    </row>
    <row r="41" spans="1:17" s="30" customFormat="1" ht="17.100000000000001" customHeight="1" x14ac:dyDescent="0.25">
      <c r="A41" s="159" t="s">
        <v>25</v>
      </c>
      <c r="B41" s="102">
        <v>97</v>
      </c>
      <c r="C41" s="103">
        <v>228</v>
      </c>
      <c r="D41" s="104">
        <v>327</v>
      </c>
      <c r="E41" s="103">
        <v>110</v>
      </c>
      <c r="F41" s="104">
        <v>8</v>
      </c>
      <c r="G41" s="105">
        <v>2</v>
      </c>
      <c r="H41" s="106">
        <f t="shared" si="2"/>
        <v>772</v>
      </c>
      <c r="I41" s="121">
        <f t="shared" si="4"/>
        <v>31.808332547052228</v>
      </c>
      <c r="K41" s="84"/>
      <c r="L41" s="84"/>
      <c r="M41" s="84"/>
      <c r="N41" s="84"/>
      <c r="O41" s="84"/>
      <c r="P41" s="84"/>
      <c r="Q41" s="84"/>
    </row>
    <row r="42" spans="1:17" s="30" customFormat="1" ht="17.100000000000001" customHeight="1" x14ac:dyDescent="0.25">
      <c r="A42" s="159" t="s">
        <v>26</v>
      </c>
      <c r="B42" s="102">
        <v>79</v>
      </c>
      <c r="C42" s="103">
        <v>45</v>
      </c>
      <c r="D42" s="104">
        <v>100</v>
      </c>
      <c r="E42" s="103">
        <v>76</v>
      </c>
      <c r="F42" s="104">
        <v>6</v>
      </c>
      <c r="G42" s="105">
        <v>2</v>
      </c>
      <c r="H42" s="106">
        <f t="shared" si="2"/>
        <v>308</v>
      </c>
      <c r="I42" s="121">
        <f t="shared" si="4"/>
        <v>12.69037101618146</v>
      </c>
      <c r="K42" s="84"/>
      <c r="L42" s="84"/>
      <c r="M42" s="84"/>
      <c r="N42" s="84"/>
      <c r="O42" s="84"/>
      <c r="P42" s="84"/>
      <c r="Q42" s="84"/>
    </row>
    <row r="43" spans="1:17" s="30" customFormat="1" ht="17.100000000000001" customHeight="1" x14ac:dyDescent="0.25">
      <c r="A43" s="159" t="s">
        <v>27</v>
      </c>
      <c r="B43" s="102">
        <v>213</v>
      </c>
      <c r="C43" s="103">
        <v>134</v>
      </c>
      <c r="D43" s="104">
        <v>248</v>
      </c>
      <c r="E43" s="103">
        <v>205</v>
      </c>
      <c r="F43" s="104">
        <v>65</v>
      </c>
      <c r="G43" s="105">
        <v>39</v>
      </c>
      <c r="H43" s="106">
        <f t="shared" si="2"/>
        <v>904</v>
      </c>
      <c r="I43" s="121">
        <f t="shared" si="4"/>
        <v>37.247062982558568</v>
      </c>
      <c r="K43" s="84"/>
      <c r="L43" s="84"/>
      <c r="M43" s="84"/>
      <c r="N43" s="84"/>
      <c r="O43" s="84"/>
      <c r="P43" s="84"/>
      <c r="Q43" s="84"/>
    </row>
    <row r="44" spans="1:17" s="30" customFormat="1" ht="17.100000000000001" customHeight="1" x14ac:dyDescent="0.25">
      <c r="A44" s="159" t="s">
        <v>28</v>
      </c>
      <c r="B44" s="102">
        <v>209</v>
      </c>
      <c r="C44" s="103">
        <v>432</v>
      </c>
      <c r="D44" s="104">
        <v>710</v>
      </c>
      <c r="E44" s="103">
        <v>401</v>
      </c>
      <c r="F44" s="104">
        <v>86</v>
      </c>
      <c r="G44" s="105">
        <v>69</v>
      </c>
      <c r="H44" s="106">
        <f t="shared" si="2"/>
        <v>1907</v>
      </c>
      <c r="I44" s="121">
        <f t="shared" si="4"/>
        <v>78.573173791746896</v>
      </c>
      <c r="K44" s="84"/>
      <c r="L44" s="84"/>
      <c r="M44" s="84"/>
      <c r="N44" s="84"/>
      <c r="O44" s="84"/>
      <c r="P44" s="84"/>
      <c r="Q44" s="84"/>
    </row>
    <row r="45" spans="1:17" ht="17.100000000000001" customHeight="1" x14ac:dyDescent="0.25">
      <c r="A45" s="159" t="s">
        <v>18</v>
      </c>
      <c r="B45" s="102">
        <v>0</v>
      </c>
      <c r="C45" s="103">
        <v>0</v>
      </c>
      <c r="D45" s="104">
        <v>0</v>
      </c>
      <c r="E45" s="103">
        <v>0</v>
      </c>
      <c r="F45" s="104">
        <v>0</v>
      </c>
      <c r="G45" s="105">
        <v>0</v>
      </c>
      <c r="H45" s="106">
        <f t="shared" si="2"/>
        <v>0</v>
      </c>
      <c r="I45" s="121">
        <f t="shared" si="4"/>
        <v>0</v>
      </c>
      <c r="J45" s="30"/>
      <c r="K45" s="84"/>
      <c r="L45" s="84"/>
      <c r="M45" s="84"/>
      <c r="N45" s="84"/>
      <c r="O45" s="84"/>
      <c r="P45" s="84"/>
      <c r="Q45" s="84"/>
    </row>
    <row r="46" spans="1:17" ht="17.100000000000001" customHeight="1" x14ac:dyDescent="0.25">
      <c r="A46" s="159" t="s">
        <v>19</v>
      </c>
      <c r="B46" s="133">
        <v>0</v>
      </c>
      <c r="C46" s="134">
        <v>2</v>
      </c>
      <c r="D46" s="135">
        <v>2</v>
      </c>
      <c r="E46" s="134">
        <v>0</v>
      </c>
      <c r="F46" s="135">
        <v>1</v>
      </c>
      <c r="G46" s="136">
        <v>0</v>
      </c>
      <c r="H46" s="106">
        <f>SUM(B46:G46)</f>
        <v>5</v>
      </c>
      <c r="I46" s="122">
        <f t="shared" si="4"/>
        <v>0.20601251649645225</v>
      </c>
      <c r="J46" s="30"/>
      <c r="K46" s="84"/>
      <c r="L46" s="84"/>
      <c r="M46" s="84"/>
      <c r="N46" s="84"/>
      <c r="O46" s="84"/>
      <c r="P46" s="84"/>
      <c r="Q46" s="84"/>
    </row>
    <row r="47" spans="1:17" ht="17.100000000000001" customHeight="1" x14ac:dyDescent="0.25">
      <c r="A47" s="163" t="s">
        <v>21</v>
      </c>
      <c r="B47" s="137">
        <v>0</v>
      </c>
      <c r="C47" s="138">
        <v>0</v>
      </c>
      <c r="D47" s="139">
        <v>2</v>
      </c>
      <c r="E47" s="138">
        <v>3</v>
      </c>
      <c r="F47" s="139">
        <v>0</v>
      </c>
      <c r="G47" s="140">
        <v>0</v>
      </c>
      <c r="H47" s="141">
        <f>SUM(B47:G47)</f>
        <v>5</v>
      </c>
      <c r="I47" s="152">
        <f t="shared" ref="I47:I78" si="11">H47/B$83 * 100000</f>
        <v>0.20601251649645225</v>
      </c>
      <c r="K47" s="84"/>
      <c r="L47" s="84"/>
      <c r="M47" s="84"/>
      <c r="N47" s="84"/>
      <c r="O47" s="84"/>
      <c r="P47" s="84"/>
      <c r="Q47" s="84"/>
    </row>
    <row r="48" spans="1:17" s="37" customFormat="1" ht="17.100000000000001" customHeight="1" x14ac:dyDescent="0.25">
      <c r="A48" s="39" t="s">
        <v>32</v>
      </c>
      <c r="B48" s="40">
        <v>784</v>
      </c>
      <c r="C48" s="41">
        <v>89</v>
      </c>
      <c r="D48" s="42">
        <v>310</v>
      </c>
      <c r="E48" s="41">
        <v>192</v>
      </c>
      <c r="F48" s="42">
        <v>22</v>
      </c>
      <c r="G48" s="43">
        <v>10</v>
      </c>
      <c r="H48" s="44">
        <f t="shared" si="2"/>
        <v>1407</v>
      </c>
      <c r="I48" s="76">
        <f t="shared" si="11"/>
        <v>57.971922142101661</v>
      </c>
      <c r="K48" s="84"/>
      <c r="L48" s="84"/>
      <c r="M48" s="84"/>
      <c r="N48" s="84"/>
      <c r="O48" s="84"/>
      <c r="P48" s="84"/>
      <c r="Q48" s="84"/>
    </row>
    <row r="49" spans="1:18" s="30" customFormat="1" ht="17.100000000000001" customHeight="1" x14ac:dyDescent="0.25">
      <c r="A49" s="39" t="s">
        <v>33</v>
      </c>
      <c r="B49" s="40">
        <v>21</v>
      </c>
      <c r="C49" s="41">
        <v>11</v>
      </c>
      <c r="D49" s="42">
        <v>13</v>
      </c>
      <c r="E49" s="41">
        <v>16</v>
      </c>
      <c r="F49" s="42">
        <v>2</v>
      </c>
      <c r="G49" s="43">
        <v>1</v>
      </c>
      <c r="H49" s="44">
        <f t="shared" si="2"/>
        <v>64</v>
      </c>
      <c r="I49" s="76">
        <f t="shared" si="11"/>
        <v>2.6369602111545887</v>
      </c>
      <c r="J49" s="37"/>
      <c r="K49" s="84"/>
      <c r="L49" s="84"/>
      <c r="M49" s="84"/>
      <c r="N49" s="84"/>
      <c r="O49" s="84"/>
      <c r="P49" s="84"/>
      <c r="Q49" s="84"/>
    </row>
    <row r="50" spans="1:18" s="30" customFormat="1" ht="17.100000000000001" customHeight="1" x14ac:dyDescent="0.25">
      <c r="A50" s="32" t="s">
        <v>47</v>
      </c>
      <c r="B50" s="33">
        <f t="shared" ref="B50:G50" si="12">SUM(B51:B54)</f>
        <v>224</v>
      </c>
      <c r="C50" s="34">
        <f t="shared" si="12"/>
        <v>134</v>
      </c>
      <c r="D50" s="31">
        <f t="shared" si="12"/>
        <v>242</v>
      </c>
      <c r="E50" s="34">
        <f t="shared" si="12"/>
        <v>109</v>
      </c>
      <c r="F50" s="31">
        <f t="shared" si="12"/>
        <v>13</v>
      </c>
      <c r="G50" s="35">
        <f t="shared" si="12"/>
        <v>16</v>
      </c>
      <c r="H50" s="36">
        <f t="shared" si="2"/>
        <v>738</v>
      </c>
      <c r="I50" s="75">
        <f t="shared" si="11"/>
        <v>30.407447434876353</v>
      </c>
      <c r="J50" s="37"/>
      <c r="K50" s="84"/>
      <c r="L50" s="84"/>
      <c r="M50" s="84"/>
      <c r="N50" s="84"/>
      <c r="O50" s="84"/>
      <c r="P50" s="84"/>
      <c r="Q50" s="84"/>
    </row>
    <row r="51" spans="1:18" s="30" customFormat="1" ht="17.100000000000001" customHeight="1" x14ac:dyDescent="0.25">
      <c r="A51" s="159" t="s">
        <v>17</v>
      </c>
      <c r="B51" s="102">
        <v>224</v>
      </c>
      <c r="C51" s="103">
        <v>134</v>
      </c>
      <c r="D51" s="104">
        <v>242</v>
      </c>
      <c r="E51" s="103">
        <v>109</v>
      </c>
      <c r="F51" s="104">
        <v>13</v>
      </c>
      <c r="G51" s="105">
        <v>16</v>
      </c>
      <c r="H51" s="106">
        <f t="shared" si="2"/>
        <v>738</v>
      </c>
      <c r="I51" s="121">
        <f t="shared" si="11"/>
        <v>30.407447434876353</v>
      </c>
      <c r="K51" s="84"/>
      <c r="L51" s="84"/>
      <c r="M51" s="84"/>
      <c r="N51" s="84"/>
      <c r="O51" s="84"/>
      <c r="P51" s="84"/>
      <c r="Q51" s="84"/>
    </row>
    <row r="52" spans="1:18" s="30" customFormat="1" ht="17.100000000000001" customHeight="1" x14ac:dyDescent="0.25">
      <c r="A52" s="160" t="s">
        <v>18</v>
      </c>
      <c r="B52" s="108">
        <v>0</v>
      </c>
      <c r="C52" s="109">
        <v>0</v>
      </c>
      <c r="D52" s="110">
        <v>0</v>
      </c>
      <c r="E52" s="109">
        <v>0</v>
      </c>
      <c r="F52" s="110">
        <v>0</v>
      </c>
      <c r="G52" s="111">
        <v>0</v>
      </c>
      <c r="H52" s="112">
        <f t="shared" si="2"/>
        <v>0</v>
      </c>
      <c r="I52" s="143">
        <f t="shared" si="11"/>
        <v>0</v>
      </c>
      <c r="J52" s="1"/>
      <c r="K52" s="84"/>
      <c r="L52" s="84"/>
      <c r="M52" s="84"/>
      <c r="N52" s="84"/>
      <c r="O52" s="84"/>
      <c r="P52" s="84"/>
      <c r="Q52" s="84"/>
    </row>
    <row r="53" spans="1:18" s="30" customFormat="1" ht="17.100000000000001" customHeight="1" x14ac:dyDescent="0.25">
      <c r="A53" s="159" t="s">
        <v>19</v>
      </c>
      <c r="B53" s="108">
        <v>0</v>
      </c>
      <c r="C53" s="109">
        <v>0</v>
      </c>
      <c r="D53" s="110">
        <v>0</v>
      </c>
      <c r="E53" s="109">
        <v>0</v>
      </c>
      <c r="F53" s="110">
        <v>0</v>
      </c>
      <c r="G53" s="111">
        <v>0</v>
      </c>
      <c r="H53" s="112">
        <f t="shared" si="2"/>
        <v>0</v>
      </c>
      <c r="I53" s="143">
        <f t="shared" si="11"/>
        <v>0</v>
      </c>
      <c r="J53" s="1"/>
      <c r="K53" s="84"/>
      <c r="L53" s="84"/>
      <c r="M53" s="84"/>
      <c r="N53" s="84"/>
      <c r="O53" s="84"/>
      <c r="P53" s="84"/>
      <c r="Q53" s="84"/>
    </row>
    <row r="54" spans="1:18" s="37" customFormat="1" ht="17.100000000000001" customHeight="1" x14ac:dyDescent="0.25">
      <c r="A54" s="164" t="s">
        <v>20</v>
      </c>
      <c r="B54" s="144">
        <v>0</v>
      </c>
      <c r="C54" s="116">
        <v>0</v>
      </c>
      <c r="D54" s="116">
        <v>0</v>
      </c>
      <c r="E54" s="116">
        <v>0</v>
      </c>
      <c r="F54" s="116">
        <v>0</v>
      </c>
      <c r="G54" s="118">
        <v>0</v>
      </c>
      <c r="H54" s="119">
        <f t="shared" si="2"/>
        <v>0</v>
      </c>
      <c r="I54" s="123">
        <f t="shared" si="11"/>
        <v>0</v>
      </c>
      <c r="J54" s="1"/>
      <c r="K54" s="84"/>
      <c r="L54" s="84"/>
      <c r="M54" s="84"/>
      <c r="N54" s="84"/>
      <c r="O54" s="84"/>
      <c r="P54" s="84"/>
      <c r="Q54" s="84"/>
    </row>
    <row r="55" spans="1:18" s="37" customFormat="1" ht="17.100000000000001" customHeight="1" x14ac:dyDescent="0.25">
      <c r="A55" s="45" t="s">
        <v>46</v>
      </c>
      <c r="B55" s="46">
        <f t="shared" ref="B55:G55" si="13">SUM(B56:B58)</f>
        <v>2540</v>
      </c>
      <c r="C55" s="47">
        <f t="shared" si="13"/>
        <v>486</v>
      </c>
      <c r="D55" s="48">
        <f t="shared" si="13"/>
        <v>1243</v>
      </c>
      <c r="E55" s="47">
        <f t="shared" si="13"/>
        <v>859</v>
      </c>
      <c r="F55" s="48">
        <f t="shared" si="13"/>
        <v>197</v>
      </c>
      <c r="G55" s="49">
        <f t="shared" si="13"/>
        <v>186</v>
      </c>
      <c r="H55" s="50">
        <f>SUM(B55:G55)</f>
        <v>5511</v>
      </c>
      <c r="I55" s="61">
        <f t="shared" si="11"/>
        <v>227.06699568238969</v>
      </c>
      <c r="K55" s="84"/>
      <c r="L55" s="84"/>
      <c r="M55" s="84"/>
      <c r="N55" s="84"/>
      <c r="O55" s="84"/>
      <c r="P55" s="84"/>
      <c r="Q55" s="84"/>
    </row>
    <row r="56" spans="1:18" s="30" customFormat="1" ht="17.100000000000001" customHeight="1" x14ac:dyDescent="0.25">
      <c r="A56" s="159" t="s">
        <v>30</v>
      </c>
      <c r="B56" s="78">
        <v>2461</v>
      </c>
      <c r="C56" s="79">
        <v>463</v>
      </c>
      <c r="D56" s="80">
        <v>1145</v>
      </c>
      <c r="E56" s="79">
        <v>821</v>
      </c>
      <c r="F56" s="80">
        <v>191</v>
      </c>
      <c r="G56" s="81">
        <v>177</v>
      </c>
      <c r="H56" s="82">
        <f>SUM(B56:G56)</f>
        <v>5258</v>
      </c>
      <c r="I56" s="83">
        <f t="shared" si="11"/>
        <v>216.64276234766919</v>
      </c>
      <c r="J56" s="37"/>
      <c r="K56" s="84"/>
      <c r="L56" s="84"/>
      <c r="M56" s="84"/>
      <c r="N56" s="84"/>
      <c r="O56" s="84"/>
      <c r="P56" s="84"/>
      <c r="Q56" s="84"/>
    </row>
    <row r="57" spans="1:18" s="30" customFormat="1" ht="17.100000000000001" customHeight="1" x14ac:dyDescent="0.25">
      <c r="A57" s="159" t="s">
        <v>31</v>
      </c>
      <c r="B57" s="102">
        <v>79</v>
      </c>
      <c r="C57" s="103">
        <v>23</v>
      </c>
      <c r="D57" s="104">
        <v>98</v>
      </c>
      <c r="E57" s="103">
        <v>38</v>
      </c>
      <c r="F57" s="104">
        <v>6</v>
      </c>
      <c r="G57" s="105">
        <v>9</v>
      </c>
      <c r="H57" s="106">
        <f>SUM(B57:G57)</f>
        <v>253</v>
      </c>
      <c r="I57" s="121">
        <f t="shared" si="11"/>
        <v>10.424233334720483</v>
      </c>
      <c r="K57" s="84"/>
      <c r="L57" s="84"/>
      <c r="M57" s="84"/>
      <c r="N57" s="84"/>
      <c r="O57" s="84"/>
      <c r="P57" s="84"/>
      <c r="Q57" s="84"/>
    </row>
    <row r="58" spans="1:18" s="30" customFormat="1" ht="17.100000000000001" customHeight="1" x14ac:dyDescent="0.25">
      <c r="A58" s="159" t="s">
        <v>29</v>
      </c>
      <c r="B58" s="102">
        <v>0</v>
      </c>
      <c r="C58" s="103">
        <v>0</v>
      </c>
      <c r="D58" s="104">
        <v>0</v>
      </c>
      <c r="E58" s="103">
        <v>0</v>
      </c>
      <c r="F58" s="104">
        <v>0</v>
      </c>
      <c r="G58" s="105">
        <v>0</v>
      </c>
      <c r="H58" s="106">
        <f>SUM(B58:G58)</f>
        <v>0</v>
      </c>
      <c r="I58" s="121">
        <f t="shared" si="11"/>
        <v>0</v>
      </c>
      <c r="K58" s="84"/>
      <c r="L58" s="84"/>
      <c r="M58" s="84"/>
      <c r="N58" s="84"/>
      <c r="O58" s="84"/>
      <c r="P58" s="84"/>
      <c r="Q58" s="84"/>
    </row>
    <row r="59" spans="1:18" s="30" customFormat="1" ht="17.100000000000001" customHeight="1" x14ac:dyDescent="0.25">
      <c r="A59" s="39" t="s">
        <v>11</v>
      </c>
      <c r="B59" s="40">
        <v>3901</v>
      </c>
      <c r="C59" s="41">
        <v>1537</v>
      </c>
      <c r="D59" s="42">
        <v>3917</v>
      </c>
      <c r="E59" s="41">
        <v>2222</v>
      </c>
      <c r="F59" s="42">
        <v>405</v>
      </c>
      <c r="G59" s="43">
        <v>280</v>
      </c>
      <c r="H59" s="44">
        <f>SUM(B59:G59)</f>
        <v>12262</v>
      </c>
      <c r="I59" s="76">
        <f t="shared" si="11"/>
        <v>505.22509545589958</v>
      </c>
      <c r="J59" s="37"/>
      <c r="K59" s="84"/>
      <c r="L59" s="84"/>
      <c r="M59" s="84"/>
      <c r="N59" s="84"/>
      <c r="O59" s="84"/>
      <c r="P59" s="84"/>
      <c r="Q59" s="84"/>
    </row>
    <row r="60" spans="1:18" s="30" customFormat="1" ht="17.100000000000001" customHeight="1" x14ac:dyDescent="0.25">
      <c r="A60" s="32" t="s">
        <v>45</v>
      </c>
      <c r="B60" s="33">
        <f t="shared" ref="B60:G60" si="14">SUM(B61+B66)</f>
        <v>802</v>
      </c>
      <c r="C60" s="47">
        <f t="shared" si="14"/>
        <v>231</v>
      </c>
      <c r="D60" s="31">
        <f t="shared" si="14"/>
        <v>587</v>
      </c>
      <c r="E60" s="34">
        <f t="shared" si="14"/>
        <v>321</v>
      </c>
      <c r="F60" s="31">
        <f t="shared" si="14"/>
        <v>54</v>
      </c>
      <c r="G60" s="35">
        <f t="shared" si="14"/>
        <v>48</v>
      </c>
      <c r="H60" s="36">
        <f t="shared" si="2"/>
        <v>2043</v>
      </c>
      <c r="I60" s="75">
        <f t="shared" si="11"/>
        <v>84.176714240450394</v>
      </c>
      <c r="J60" s="37"/>
      <c r="K60" s="84"/>
      <c r="L60" s="84"/>
      <c r="M60" s="84"/>
      <c r="N60" s="84"/>
      <c r="O60" s="84"/>
      <c r="P60" s="84"/>
      <c r="Q60" s="84"/>
      <c r="R60" s="95"/>
    </row>
    <row r="61" spans="1:18" s="30" customFormat="1" ht="17.100000000000001" customHeight="1" x14ac:dyDescent="0.25">
      <c r="A61" s="51" t="s">
        <v>44</v>
      </c>
      <c r="B61" s="52">
        <f t="shared" ref="B61:G61" si="15">SUM(B62:B65)</f>
        <v>550</v>
      </c>
      <c r="C61" s="53">
        <f t="shared" si="15"/>
        <v>185</v>
      </c>
      <c r="D61" s="54">
        <f t="shared" si="15"/>
        <v>382</v>
      </c>
      <c r="E61" s="53">
        <f t="shared" si="15"/>
        <v>194</v>
      </c>
      <c r="F61" s="54">
        <f t="shared" si="15"/>
        <v>34</v>
      </c>
      <c r="G61" s="55">
        <f t="shared" si="15"/>
        <v>35</v>
      </c>
      <c r="H61" s="56">
        <f t="shared" si="2"/>
        <v>1380</v>
      </c>
      <c r="I61" s="77">
        <f t="shared" si="11"/>
        <v>56.859454553020818</v>
      </c>
      <c r="K61" s="84"/>
      <c r="L61" s="84"/>
      <c r="M61" s="84"/>
      <c r="N61" s="84"/>
      <c r="O61" s="84"/>
      <c r="P61" s="84"/>
      <c r="Q61" s="84"/>
      <c r="R61" s="95"/>
    </row>
    <row r="62" spans="1:18" s="30" customFormat="1" ht="17.100000000000001" customHeight="1" x14ac:dyDescent="0.25">
      <c r="A62" s="159" t="s">
        <v>1</v>
      </c>
      <c r="B62" s="145">
        <v>416</v>
      </c>
      <c r="C62" s="146">
        <v>48</v>
      </c>
      <c r="D62" s="147">
        <v>109</v>
      </c>
      <c r="E62" s="148">
        <v>69</v>
      </c>
      <c r="F62" s="147">
        <v>25</v>
      </c>
      <c r="G62" s="149">
        <v>28</v>
      </c>
      <c r="H62" s="106">
        <f t="shared" si="2"/>
        <v>695</v>
      </c>
      <c r="I62" s="121">
        <f t="shared" si="11"/>
        <v>28.635739793006863</v>
      </c>
      <c r="K62" s="88"/>
      <c r="L62" s="88"/>
      <c r="M62" s="88"/>
      <c r="N62" s="88"/>
      <c r="O62" s="88"/>
      <c r="P62" s="88"/>
      <c r="Q62" s="88"/>
      <c r="R62" s="95"/>
    </row>
    <row r="63" spans="1:18" s="30" customFormat="1" ht="17.100000000000001" customHeight="1" x14ac:dyDescent="0.25">
      <c r="A63" s="159" t="s">
        <v>22</v>
      </c>
      <c r="B63" s="102">
        <v>96</v>
      </c>
      <c r="C63" s="103">
        <v>97</v>
      </c>
      <c r="D63" s="104">
        <v>195</v>
      </c>
      <c r="E63" s="103">
        <v>90</v>
      </c>
      <c r="F63" s="104">
        <v>5</v>
      </c>
      <c r="G63" s="105">
        <v>3</v>
      </c>
      <c r="H63" s="106">
        <f t="shared" si="2"/>
        <v>486</v>
      </c>
      <c r="I63" s="121">
        <f t="shared" si="11"/>
        <v>20.024416603455158</v>
      </c>
      <c r="K63" s="88"/>
      <c r="L63" s="88"/>
      <c r="M63" s="88"/>
      <c r="N63" s="88"/>
      <c r="O63" s="88"/>
      <c r="P63" s="88"/>
      <c r="Q63" s="88"/>
      <c r="R63" s="95"/>
    </row>
    <row r="64" spans="1:18" ht="17.100000000000001" customHeight="1" x14ac:dyDescent="0.25">
      <c r="A64" s="159" t="s">
        <v>23</v>
      </c>
      <c r="B64" s="102">
        <v>0</v>
      </c>
      <c r="C64" s="103">
        <v>1</v>
      </c>
      <c r="D64" s="104">
        <v>1</v>
      </c>
      <c r="E64" s="103">
        <v>1</v>
      </c>
      <c r="F64" s="104">
        <v>0</v>
      </c>
      <c r="G64" s="105">
        <v>0</v>
      </c>
      <c r="H64" s="106">
        <f>SUM(B64:G64)</f>
        <v>3</v>
      </c>
      <c r="I64" s="122">
        <f t="shared" si="11"/>
        <v>0.12360750989787135</v>
      </c>
      <c r="J64" s="30"/>
      <c r="K64" s="88"/>
      <c r="L64" s="88"/>
      <c r="M64" s="88"/>
      <c r="N64" s="88"/>
      <c r="O64" s="88"/>
      <c r="P64" s="88"/>
      <c r="Q64" s="88"/>
      <c r="R64" s="19"/>
    </row>
    <row r="65" spans="1:18" s="37" customFormat="1" ht="17.100000000000001" customHeight="1" x14ac:dyDescent="0.25">
      <c r="A65" s="165" t="s">
        <v>2</v>
      </c>
      <c r="B65" s="145">
        <v>38</v>
      </c>
      <c r="C65" s="148">
        <v>39</v>
      </c>
      <c r="D65" s="147">
        <v>77</v>
      </c>
      <c r="E65" s="148">
        <v>34</v>
      </c>
      <c r="F65" s="147">
        <v>4</v>
      </c>
      <c r="G65" s="149">
        <v>4</v>
      </c>
      <c r="H65" s="106">
        <f t="shared" si="2"/>
        <v>196</v>
      </c>
      <c r="I65" s="121">
        <f t="shared" si="11"/>
        <v>8.0756906466609291</v>
      </c>
      <c r="J65" s="30"/>
      <c r="K65" s="88"/>
      <c r="L65" s="88"/>
      <c r="M65" s="88"/>
      <c r="N65" s="88"/>
      <c r="O65" s="88"/>
      <c r="P65" s="88"/>
      <c r="Q65" s="88"/>
      <c r="R65" s="96"/>
    </row>
    <row r="66" spans="1:18" s="37" customFormat="1" ht="17.100000000000001" customHeight="1" x14ac:dyDescent="0.25">
      <c r="A66" s="51" t="s">
        <v>43</v>
      </c>
      <c r="B66" s="52">
        <f t="shared" ref="B66:G66" si="16">SUM(B67:B71)</f>
        <v>252</v>
      </c>
      <c r="C66" s="53">
        <f t="shared" si="16"/>
        <v>46</v>
      </c>
      <c r="D66" s="54">
        <f t="shared" si="16"/>
        <v>205</v>
      </c>
      <c r="E66" s="53">
        <f t="shared" si="16"/>
        <v>127</v>
      </c>
      <c r="F66" s="54">
        <f t="shared" si="16"/>
        <v>20</v>
      </c>
      <c r="G66" s="55">
        <f t="shared" si="16"/>
        <v>13</v>
      </c>
      <c r="H66" s="56">
        <f t="shared" si="2"/>
        <v>663</v>
      </c>
      <c r="I66" s="77">
        <f t="shared" si="11"/>
        <v>27.317259687429566</v>
      </c>
      <c r="J66" s="30"/>
      <c r="K66" s="88"/>
      <c r="L66" s="88"/>
      <c r="M66" s="88"/>
      <c r="N66" s="88"/>
      <c r="O66" s="88"/>
      <c r="P66" s="88"/>
      <c r="Q66" s="88"/>
      <c r="R66" s="96"/>
    </row>
    <row r="67" spans="1:18" s="37" customFormat="1" ht="17.100000000000001" customHeight="1" x14ac:dyDescent="0.25">
      <c r="A67" s="159" t="s">
        <v>1</v>
      </c>
      <c r="B67" s="145">
        <v>208</v>
      </c>
      <c r="C67" s="148">
        <v>21</v>
      </c>
      <c r="D67" s="147">
        <v>123</v>
      </c>
      <c r="E67" s="148">
        <v>78</v>
      </c>
      <c r="F67" s="147">
        <v>17</v>
      </c>
      <c r="G67" s="149">
        <v>13</v>
      </c>
      <c r="H67" s="106">
        <f t="shared" si="2"/>
        <v>460</v>
      </c>
      <c r="I67" s="121">
        <f t="shared" si="11"/>
        <v>18.953151517673607</v>
      </c>
      <c r="J67" s="30"/>
      <c r="K67" s="89"/>
      <c r="L67" s="89"/>
      <c r="M67" s="89"/>
      <c r="N67" s="89"/>
      <c r="O67" s="89"/>
      <c r="P67" s="89"/>
      <c r="Q67" s="89"/>
      <c r="R67" s="96"/>
    </row>
    <row r="68" spans="1:18" s="30" customFormat="1" ht="17.100000000000001" customHeight="1" x14ac:dyDescent="0.25">
      <c r="A68" s="159" t="s">
        <v>22</v>
      </c>
      <c r="B68" s="102">
        <v>14</v>
      </c>
      <c r="C68" s="103">
        <v>12</v>
      </c>
      <c r="D68" s="104">
        <v>25</v>
      </c>
      <c r="E68" s="103">
        <v>7</v>
      </c>
      <c r="F68" s="104">
        <v>1</v>
      </c>
      <c r="G68" s="105">
        <v>0</v>
      </c>
      <c r="H68" s="131">
        <f t="shared" si="2"/>
        <v>59</v>
      </c>
      <c r="I68" s="150">
        <f t="shared" si="11"/>
        <v>2.430947694658137</v>
      </c>
      <c r="K68" s="89"/>
      <c r="L68" s="89"/>
      <c r="M68" s="89"/>
      <c r="N68" s="89"/>
      <c r="O68" s="89"/>
      <c r="P68" s="89"/>
      <c r="Q68" s="89"/>
      <c r="R68" s="95"/>
    </row>
    <row r="69" spans="1:18" ht="17.100000000000001" customHeight="1" x14ac:dyDescent="0.25">
      <c r="A69" s="159" t="s">
        <v>23</v>
      </c>
      <c r="B69" s="102">
        <v>1</v>
      </c>
      <c r="C69" s="103">
        <v>0</v>
      </c>
      <c r="D69" s="104">
        <v>1</v>
      </c>
      <c r="E69" s="103">
        <v>1</v>
      </c>
      <c r="F69" s="104">
        <v>0</v>
      </c>
      <c r="G69" s="105">
        <v>0</v>
      </c>
      <c r="H69" s="131">
        <f>SUM(B69:G69)</f>
        <v>3</v>
      </c>
      <c r="I69" s="132">
        <f t="shared" si="11"/>
        <v>0.12360750989787135</v>
      </c>
      <c r="J69" s="30"/>
      <c r="K69" s="89"/>
      <c r="L69" s="89"/>
      <c r="M69" s="89"/>
      <c r="N69" s="89"/>
      <c r="O69" s="89"/>
      <c r="P69" s="89"/>
      <c r="Q69" s="89"/>
      <c r="R69" s="19"/>
    </row>
    <row r="70" spans="1:18" ht="17.100000000000001" customHeight="1" x14ac:dyDescent="0.25">
      <c r="A70" s="159" t="s">
        <v>39</v>
      </c>
      <c r="B70" s="108">
        <v>1</v>
      </c>
      <c r="C70" s="109">
        <v>0</v>
      </c>
      <c r="D70" s="110">
        <v>1</v>
      </c>
      <c r="E70" s="109">
        <v>0</v>
      </c>
      <c r="F70" s="110">
        <v>0</v>
      </c>
      <c r="G70" s="111">
        <v>0</v>
      </c>
      <c r="H70" s="106">
        <f>SUM(B70:G70)</f>
        <v>2</v>
      </c>
      <c r="I70" s="114">
        <f t="shared" si="11"/>
        <v>8.2405006598580896E-2</v>
      </c>
      <c r="K70" s="84"/>
      <c r="L70" s="84"/>
      <c r="M70" s="84"/>
      <c r="N70" s="84"/>
      <c r="O70" s="84"/>
      <c r="P70" s="84"/>
      <c r="Q70" s="84"/>
    </row>
    <row r="71" spans="1:18" ht="17.100000000000001" customHeight="1" x14ac:dyDescent="0.25">
      <c r="A71" s="165" t="s">
        <v>2</v>
      </c>
      <c r="B71" s="145">
        <v>28</v>
      </c>
      <c r="C71" s="148">
        <v>13</v>
      </c>
      <c r="D71" s="147">
        <v>55</v>
      </c>
      <c r="E71" s="148">
        <v>41</v>
      </c>
      <c r="F71" s="147">
        <v>2</v>
      </c>
      <c r="G71" s="149">
        <v>0</v>
      </c>
      <c r="H71" s="106">
        <f>SUM(B71:G71)</f>
        <v>139</v>
      </c>
      <c r="I71" s="121">
        <f t="shared" si="11"/>
        <v>5.7271479586013729</v>
      </c>
      <c r="J71" s="30"/>
      <c r="K71" s="89"/>
      <c r="L71" s="89"/>
      <c r="M71" s="89"/>
      <c r="N71" s="89"/>
      <c r="O71" s="89"/>
      <c r="P71" s="89"/>
      <c r="Q71" s="89"/>
      <c r="R71" s="19"/>
    </row>
    <row r="72" spans="1:18" ht="17.100000000000001" customHeight="1" x14ac:dyDescent="0.25">
      <c r="A72" s="32" t="s">
        <v>42</v>
      </c>
      <c r="B72" s="33">
        <f t="shared" ref="B72:G72" si="17">SUM(B73:B77)</f>
        <v>10209</v>
      </c>
      <c r="C72" s="34">
        <f t="shared" si="17"/>
        <v>2880</v>
      </c>
      <c r="D72" s="31">
        <f t="shared" si="17"/>
        <v>4959</v>
      </c>
      <c r="E72" s="34">
        <f t="shared" si="17"/>
        <v>2454</v>
      </c>
      <c r="F72" s="31">
        <f t="shared" si="17"/>
        <v>467</v>
      </c>
      <c r="G72" s="35">
        <f t="shared" si="17"/>
        <v>438</v>
      </c>
      <c r="H72" s="36">
        <f t="shared" ref="H72:H82" si="18">SUM(B72:G72)</f>
        <v>21407</v>
      </c>
      <c r="I72" s="75">
        <f t="shared" si="11"/>
        <v>882.02198812791073</v>
      </c>
      <c r="J72" s="37"/>
      <c r="K72" s="89"/>
      <c r="L72" s="89"/>
      <c r="M72" s="89"/>
      <c r="N72" s="89"/>
      <c r="O72" s="89"/>
      <c r="P72" s="89"/>
      <c r="Q72" s="89"/>
      <c r="R72" s="19"/>
    </row>
    <row r="73" spans="1:18" s="37" customFormat="1" ht="17.100000000000001" customHeight="1" x14ac:dyDescent="0.25">
      <c r="A73" s="159" t="s">
        <v>1</v>
      </c>
      <c r="B73" s="145">
        <v>9624</v>
      </c>
      <c r="C73" s="148">
        <v>2115</v>
      </c>
      <c r="D73" s="147">
        <v>3806</v>
      </c>
      <c r="E73" s="148">
        <v>2011</v>
      </c>
      <c r="F73" s="147">
        <v>432</v>
      </c>
      <c r="G73" s="149">
        <v>425</v>
      </c>
      <c r="H73" s="106">
        <f t="shared" si="18"/>
        <v>18413</v>
      </c>
      <c r="I73" s="121">
        <f t="shared" si="11"/>
        <v>758.66169324983514</v>
      </c>
      <c r="J73" s="30"/>
      <c r="R73" s="96"/>
    </row>
    <row r="74" spans="1:18" s="30" customFormat="1" ht="17.100000000000001" customHeight="1" x14ac:dyDescent="0.25">
      <c r="A74" s="159" t="s">
        <v>22</v>
      </c>
      <c r="B74" s="102">
        <v>0</v>
      </c>
      <c r="C74" s="103">
        <v>0</v>
      </c>
      <c r="D74" s="104">
        <v>0</v>
      </c>
      <c r="E74" s="103">
        <v>0</v>
      </c>
      <c r="F74" s="104">
        <v>0</v>
      </c>
      <c r="G74" s="105">
        <v>0</v>
      </c>
      <c r="H74" s="106">
        <f t="shared" si="18"/>
        <v>0</v>
      </c>
      <c r="I74" s="121">
        <f t="shared" si="11"/>
        <v>0</v>
      </c>
      <c r="R74" s="95"/>
    </row>
    <row r="75" spans="1:18" s="30" customFormat="1" ht="17.100000000000001" customHeight="1" x14ac:dyDescent="0.25">
      <c r="A75" s="159" t="s">
        <v>23</v>
      </c>
      <c r="B75" s="145">
        <v>551</v>
      </c>
      <c r="C75" s="148">
        <v>708</v>
      </c>
      <c r="D75" s="147">
        <v>1036</v>
      </c>
      <c r="E75" s="148">
        <v>407</v>
      </c>
      <c r="F75" s="147">
        <v>34</v>
      </c>
      <c r="G75" s="149">
        <v>13</v>
      </c>
      <c r="H75" s="131">
        <f>SUM(B75:G75)</f>
        <v>2749</v>
      </c>
      <c r="I75" s="150">
        <f t="shared" si="11"/>
        <v>113.26568156974945</v>
      </c>
      <c r="R75" s="95"/>
    </row>
    <row r="76" spans="1:18" s="30" customFormat="1" ht="17.100000000000001" customHeight="1" x14ac:dyDescent="0.25">
      <c r="A76" s="159" t="s">
        <v>39</v>
      </c>
      <c r="B76" s="145">
        <v>34</v>
      </c>
      <c r="C76" s="148">
        <v>57</v>
      </c>
      <c r="D76" s="147">
        <v>117</v>
      </c>
      <c r="E76" s="148">
        <v>36</v>
      </c>
      <c r="F76" s="147">
        <v>1</v>
      </c>
      <c r="G76" s="149">
        <v>0</v>
      </c>
      <c r="H76" s="131">
        <f>SUM(B76:G76)</f>
        <v>245</v>
      </c>
      <c r="I76" s="150">
        <f t="shared" si="11"/>
        <v>10.09461330832616</v>
      </c>
      <c r="R76" s="95"/>
    </row>
    <row r="77" spans="1:18" s="37" customFormat="1" ht="17.100000000000001" customHeight="1" x14ac:dyDescent="0.25">
      <c r="A77" s="165" t="s">
        <v>2</v>
      </c>
      <c r="B77" s="145">
        <v>0</v>
      </c>
      <c r="C77" s="148">
        <v>0</v>
      </c>
      <c r="D77" s="147">
        <v>0</v>
      </c>
      <c r="E77" s="148">
        <v>0</v>
      </c>
      <c r="F77" s="147">
        <v>0</v>
      </c>
      <c r="G77" s="149">
        <v>0</v>
      </c>
      <c r="H77" s="106">
        <f t="shared" si="18"/>
        <v>0</v>
      </c>
      <c r="I77" s="121">
        <f t="shared" si="11"/>
        <v>0</v>
      </c>
      <c r="J77" s="30"/>
      <c r="R77" s="96"/>
    </row>
    <row r="78" spans="1:18" s="30" customFormat="1" ht="17.100000000000001" customHeight="1" x14ac:dyDescent="0.25">
      <c r="A78" s="32" t="s">
        <v>57</v>
      </c>
      <c r="B78" s="33">
        <f t="shared" ref="B78:G78" si="19">SUM(B79:B82)</f>
        <v>17</v>
      </c>
      <c r="C78" s="34">
        <f t="shared" si="19"/>
        <v>3</v>
      </c>
      <c r="D78" s="31">
        <f t="shared" si="19"/>
        <v>4</v>
      </c>
      <c r="E78" s="34">
        <f t="shared" si="19"/>
        <v>8</v>
      </c>
      <c r="F78" s="31">
        <f t="shared" si="19"/>
        <v>3</v>
      </c>
      <c r="G78" s="35">
        <f t="shared" si="19"/>
        <v>1</v>
      </c>
      <c r="H78" s="36">
        <f t="shared" si="18"/>
        <v>36</v>
      </c>
      <c r="I78" s="75">
        <f t="shared" si="11"/>
        <v>1.4832901187744563</v>
      </c>
      <c r="J78" s="37"/>
      <c r="K78" s="84"/>
      <c r="L78" s="84"/>
      <c r="M78" s="84"/>
      <c r="N78" s="84"/>
      <c r="O78" s="84"/>
      <c r="P78" s="84"/>
      <c r="Q78" s="84"/>
    </row>
    <row r="79" spans="1:18" s="30" customFormat="1" ht="17.100000000000001" customHeight="1" x14ac:dyDescent="0.25">
      <c r="A79" s="159" t="s">
        <v>17</v>
      </c>
      <c r="B79" s="102">
        <v>12</v>
      </c>
      <c r="C79" s="103">
        <v>2</v>
      </c>
      <c r="D79" s="104">
        <v>1</v>
      </c>
      <c r="E79" s="103">
        <v>7</v>
      </c>
      <c r="F79" s="104">
        <v>2</v>
      </c>
      <c r="G79" s="105">
        <v>1</v>
      </c>
      <c r="H79" s="106">
        <f t="shared" si="18"/>
        <v>25</v>
      </c>
      <c r="I79" s="121">
        <f t="shared" ref="I79:I82" si="20">H79/B$83 * 100000</f>
        <v>1.0300625824822613</v>
      </c>
      <c r="K79" s="84"/>
      <c r="L79" s="84"/>
      <c r="M79" s="84"/>
      <c r="N79" s="84"/>
      <c r="O79" s="84"/>
      <c r="P79" s="84"/>
      <c r="Q79" s="84"/>
    </row>
    <row r="80" spans="1:18" s="30" customFormat="1" ht="17.100000000000001" customHeight="1" x14ac:dyDescent="0.25">
      <c r="A80" s="160" t="s">
        <v>18</v>
      </c>
      <c r="B80" s="145">
        <v>2</v>
      </c>
      <c r="C80" s="148">
        <v>1</v>
      </c>
      <c r="D80" s="147">
        <v>2</v>
      </c>
      <c r="E80" s="148">
        <v>1</v>
      </c>
      <c r="F80" s="147">
        <v>0</v>
      </c>
      <c r="G80" s="149">
        <v>0</v>
      </c>
      <c r="H80" s="106">
        <f t="shared" si="18"/>
        <v>6</v>
      </c>
      <c r="I80" s="122">
        <f t="shared" si="20"/>
        <v>0.2472150197957427</v>
      </c>
      <c r="K80" s="84"/>
      <c r="L80" s="84"/>
      <c r="M80" s="84"/>
      <c r="N80" s="84"/>
      <c r="O80" s="84"/>
      <c r="P80" s="84"/>
      <c r="Q80" s="84"/>
    </row>
    <row r="81" spans="1:17" s="30" customFormat="1" ht="17.100000000000001" customHeight="1" x14ac:dyDescent="0.25">
      <c r="A81" s="159" t="s">
        <v>19</v>
      </c>
      <c r="B81" s="102">
        <v>2</v>
      </c>
      <c r="C81" s="103">
        <v>0</v>
      </c>
      <c r="D81" s="104">
        <v>1</v>
      </c>
      <c r="E81" s="103">
        <v>0</v>
      </c>
      <c r="F81" s="104">
        <v>1</v>
      </c>
      <c r="G81" s="105">
        <v>0</v>
      </c>
      <c r="H81" s="106">
        <f t="shared" si="18"/>
        <v>4</v>
      </c>
      <c r="I81" s="122">
        <f t="shared" si="20"/>
        <v>0.16481001319716179</v>
      </c>
      <c r="K81" s="84"/>
      <c r="L81" s="84"/>
      <c r="M81" s="84"/>
      <c r="N81" s="84"/>
      <c r="O81" s="84"/>
      <c r="P81" s="84"/>
      <c r="Q81" s="84"/>
    </row>
    <row r="82" spans="1:17" s="30" customFormat="1" ht="17.100000000000001" customHeight="1" x14ac:dyDescent="0.25">
      <c r="A82" s="164" t="s">
        <v>20</v>
      </c>
      <c r="B82" s="102">
        <v>1</v>
      </c>
      <c r="C82" s="103">
        <v>0</v>
      </c>
      <c r="D82" s="104">
        <v>0</v>
      </c>
      <c r="E82" s="103">
        <v>0</v>
      </c>
      <c r="F82" s="147">
        <v>0</v>
      </c>
      <c r="G82" s="149">
        <v>0</v>
      </c>
      <c r="H82" s="106">
        <f t="shared" si="18"/>
        <v>1</v>
      </c>
      <c r="I82" s="122">
        <f t="shared" si="20"/>
        <v>4.1202503299290448E-2</v>
      </c>
      <c r="J82" s="1"/>
      <c r="K82" s="84"/>
      <c r="L82" s="84"/>
      <c r="M82" s="84"/>
      <c r="N82" s="84"/>
      <c r="O82" s="84"/>
      <c r="P82" s="84"/>
      <c r="Q82" s="84"/>
    </row>
    <row r="83" spans="1:17" s="30" customFormat="1" ht="27.95" customHeight="1" x14ac:dyDescent="0.2">
      <c r="A83" s="69" t="s">
        <v>62</v>
      </c>
      <c r="B83" s="207">
        <v>2427037</v>
      </c>
      <c r="C83" s="213"/>
      <c r="D83" s="68"/>
      <c r="E83" s="68"/>
      <c r="F83" s="68"/>
      <c r="G83" s="68"/>
      <c r="H83" s="68"/>
      <c r="I83" s="68"/>
      <c r="J83" s="1"/>
      <c r="K83" s="87"/>
      <c r="L83" s="87"/>
      <c r="M83" s="87"/>
      <c r="N83" s="87"/>
      <c r="O83" s="87"/>
      <c r="P83" s="87"/>
      <c r="Q83" s="84"/>
    </row>
    <row r="84" spans="1:17" s="30" customFormat="1" ht="27.95" customHeight="1" x14ac:dyDescent="0.2">
      <c r="A84" s="69" t="s">
        <v>13</v>
      </c>
      <c r="B84" s="70"/>
      <c r="C84" s="71"/>
      <c r="D84" s="72"/>
      <c r="E84" s="70"/>
      <c r="F84" s="71"/>
      <c r="G84" s="73"/>
      <c r="H84" s="69"/>
      <c r="I84" s="69"/>
      <c r="J84" s="1"/>
      <c r="K84" s="85"/>
      <c r="L84" s="84"/>
      <c r="M84" s="84"/>
      <c r="N84" s="84"/>
      <c r="O84" s="84"/>
      <c r="P84" s="84"/>
      <c r="Q84" s="84"/>
    </row>
    <row r="85" spans="1:17" s="30" customFormat="1" ht="27.95" customHeight="1" x14ac:dyDescent="0.2">
      <c r="A85" s="208" t="s">
        <v>14</v>
      </c>
      <c r="B85" s="209"/>
      <c r="C85" s="209"/>
      <c r="D85" s="209"/>
      <c r="E85" s="209"/>
      <c r="F85" s="209"/>
      <c r="G85" s="209"/>
      <c r="H85" s="209"/>
      <c r="I85" s="209"/>
      <c r="J85" s="1"/>
      <c r="K85" s="85"/>
      <c r="L85" s="84"/>
      <c r="M85" s="84"/>
      <c r="N85" s="84"/>
      <c r="O85" s="84"/>
      <c r="P85" s="84"/>
      <c r="Q85" s="84"/>
    </row>
    <row r="86" spans="1:17" s="30" customFormat="1" ht="16.5" customHeight="1" x14ac:dyDescent="0.25">
      <c r="A86" s="208" t="s">
        <v>15</v>
      </c>
      <c r="B86" s="209"/>
      <c r="C86" s="209"/>
      <c r="D86" s="209"/>
      <c r="E86" s="209"/>
      <c r="F86" s="209"/>
      <c r="G86" s="209"/>
      <c r="H86" s="209"/>
      <c r="I86" s="209"/>
      <c r="J86" s="1"/>
      <c r="K86" s="29"/>
      <c r="L86" s="1"/>
      <c r="M86" s="1"/>
      <c r="N86" s="1"/>
      <c r="O86" s="1"/>
      <c r="P86" s="1"/>
      <c r="Q86" s="1"/>
    </row>
    <row r="87" spans="1:17" s="30" customFormat="1" ht="27.95" customHeight="1" x14ac:dyDescent="0.25">
      <c r="A87" s="74" t="s">
        <v>81</v>
      </c>
      <c r="B87" s="70"/>
      <c r="C87" s="71"/>
      <c r="D87" s="72"/>
      <c r="E87" s="70"/>
      <c r="F87" s="71"/>
      <c r="G87" s="73"/>
      <c r="H87" s="69"/>
      <c r="I87" s="69"/>
      <c r="J87" s="1"/>
      <c r="K87" s="29"/>
      <c r="L87" s="1"/>
      <c r="M87" s="1"/>
      <c r="N87" s="1"/>
      <c r="O87" s="1"/>
      <c r="P87" s="1"/>
      <c r="Q87" s="1"/>
    </row>
    <row r="88" spans="1:17" s="30" customFormat="1" ht="15.75" x14ac:dyDescent="0.25">
      <c r="A88" s="1"/>
      <c r="B88" s="11"/>
      <c r="C88" s="2"/>
      <c r="D88" s="22"/>
      <c r="E88" s="11"/>
      <c r="F88" s="2"/>
      <c r="G88" s="1"/>
      <c r="H88" s="1"/>
      <c r="I88" s="1"/>
      <c r="J88" s="1"/>
      <c r="K88" s="29"/>
      <c r="L88" s="1"/>
      <c r="M88" s="1"/>
      <c r="N88" s="1"/>
      <c r="O88" s="1"/>
      <c r="P88" s="1"/>
      <c r="Q88" s="1"/>
    </row>
    <row r="89" spans="1:17" s="30" customFormat="1" x14ac:dyDescent="0.2">
      <c r="A89" s="1"/>
      <c r="B89" s="64"/>
      <c r="C89" s="63"/>
      <c r="D89" s="63"/>
      <c r="E89" s="64"/>
      <c r="F89" s="64"/>
      <c r="G89" s="63"/>
      <c r="H89" s="63"/>
      <c r="I89" s="1"/>
      <c r="J89" s="1"/>
      <c r="K89" s="1"/>
      <c r="L89" s="1"/>
      <c r="M89" s="1"/>
      <c r="N89" s="1"/>
      <c r="O89" s="1"/>
      <c r="P89" s="1"/>
      <c r="Q89" s="1"/>
    </row>
    <row r="90" spans="1:17" s="30" customFormat="1" ht="15" customHeight="1" x14ac:dyDescent="0.2">
      <c r="A90" s="1"/>
      <c r="B90" s="64"/>
      <c r="C90" s="63"/>
      <c r="D90" s="63"/>
      <c r="E90" s="64"/>
      <c r="F90" s="63"/>
      <c r="G90" s="63"/>
      <c r="H90" s="63"/>
      <c r="I90" s="1"/>
      <c r="J90" s="1"/>
      <c r="K90" s="1"/>
      <c r="L90" s="1"/>
      <c r="M90" s="1"/>
      <c r="N90" s="1"/>
      <c r="O90" s="1"/>
      <c r="P90" s="1"/>
      <c r="Q90" s="1"/>
    </row>
    <row r="91" spans="1:17" s="30" customFormat="1" x14ac:dyDescent="0.2">
      <c r="A91" s="1"/>
      <c r="B91" s="63"/>
      <c r="C91" s="63"/>
      <c r="D91" s="63"/>
      <c r="E91" s="64"/>
      <c r="F91" s="63"/>
      <c r="G91" s="63"/>
      <c r="H91" s="63"/>
      <c r="I91" s="1"/>
      <c r="J91" s="21"/>
      <c r="K91" s="1"/>
      <c r="L91" s="1"/>
      <c r="M91" s="1"/>
      <c r="N91" s="1"/>
      <c r="O91" s="1"/>
      <c r="P91" s="1"/>
      <c r="Q91" s="1"/>
    </row>
    <row r="92" spans="1:17" x14ac:dyDescent="0.2">
      <c r="B92" s="64"/>
      <c r="C92" s="63"/>
      <c r="D92" s="63"/>
      <c r="E92" s="64"/>
      <c r="F92" s="63"/>
      <c r="G92" s="63"/>
      <c r="H92" s="63"/>
      <c r="J92" s="9"/>
    </row>
    <row r="93" spans="1:17" s="37" customFormat="1" ht="21" customHeight="1" x14ac:dyDescent="0.25">
      <c r="A93" s="1"/>
      <c r="B93" s="64"/>
      <c r="C93" s="63"/>
      <c r="D93" s="67"/>
      <c r="E93" s="64"/>
      <c r="F93" s="63"/>
      <c r="G93" s="67"/>
      <c r="H93" s="63"/>
      <c r="I93" s="1"/>
      <c r="J93" s="9"/>
      <c r="K93" s="1"/>
      <c r="L93" s="1"/>
      <c r="M93" s="1"/>
      <c r="N93" s="1"/>
      <c r="O93" s="1"/>
      <c r="P93" s="1"/>
      <c r="Q93" s="1"/>
    </row>
    <row r="94" spans="1:17" s="30" customFormat="1" x14ac:dyDescent="0.2">
      <c r="A94" s="1"/>
      <c r="B94" s="64"/>
      <c r="C94" s="63"/>
      <c r="D94" s="67"/>
      <c r="E94" s="64"/>
      <c r="F94" s="63"/>
      <c r="G94" s="67"/>
      <c r="H94" s="63"/>
      <c r="I94" s="1"/>
      <c r="J94" s="9"/>
      <c r="K94" s="1"/>
      <c r="L94" s="1"/>
      <c r="M94" s="1"/>
      <c r="N94" s="1"/>
      <c r="O94" s="1"/>
      <c r="P94" s="1"/>
      <c r="Q94" s="1"/>
    </row>
    <row r="95" spans="1:17" s="30" customFormat="1" x14ac:dyDescent="0.2">
      <c r="A95" s="1"/>
      <c r="B95" s="64"/>
      <c r="C95" s="63"/>
      <c r="D95" s="67"/>
      <c r="E95" s="64"/>
      <c r="F95" s="63"/>
      <c r="G95" s="67"/>
      <c r="H95" s="63"/>
      <c r="I95" s="1"/>
      <c r="J95" s="9"/>
      <c r="K95" s="1"/>
      <c r="L95" s="1"/>
      <c r="M95" s="1"/>
      <c r="N95" s="1"/>
      <c r="O95" s="1"/>
      <c r="P95" s="1"/>
      <c r="Q95" s="1"/>
    </row>
    <row r="96" spans="1:17" s="30" customFormat="1" ht="15" customHeight="1" x14ac:dyDescent="0.2">
      <c r="A96" s="1"/>
      <c r="B96" s="66"/>
      <c r="C96" s="19"/>
      <c r="D96" s="65"/>
      <c r="E96" s="66"/>
      <c r="F96" s="19"/>
      <c r="G96" s="19"/>
      <c r="H96" s="19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B97" s="11"/>
      <c r="C97" s="12"/>
      <c r="D97" s="23"/>
      <c r="E97" s="11"/>
      <c r="F97" s="12"/>
      <c r="G97" s="13"/>
    </row>
    <row r="98" spans="1:17" s="37" customFormat="1" ht="21" customHeight="1" x14ac:dyDescent="0.25">
      <c r="A98" s="1"/>
      <c r="B98" s="11"/>
      <c r="C98" s="12"/>
      <c r="D98" s="23"/>
      <c r="E98" s="11"/>
      <c r="F98" s="12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30" customFormat="1" x14ac:dyDescent="0.2">
      <c r="A99" s="1"/>
      <c r="B99" s="11"/>
      <c r="C99" s="12"/>
      <c r="D99" s="23"/>
      <c r="E99" s="11"/>
      <c r="F99" s="12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30" customFormat="1" x14ac:dyDescent="0.2">
      <c r="A100" s="1"/>
      <c r="B100" s="11"/>
      <c r="C100" s="12"/>
      <c r="D100" s="23"/>
      <c r="E100" s="11"/>
      <c r="F100" s="12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30" customFormat="1" x14ac:dyDescent="0.2">
      <c r="A101" s="1"/>
      <c r="B101" s="11"/>
      <c r="C101" s="12"/>
      <c r="D101" s="23"/>
      <c r="E101" s="11"/>
      <c r="F101" s="12"/>
      <c r="G101" s="13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30" customFormat="1" x14ac:dyDescent="0.2">
      <c r="A102" s="1"/>
      <c r="B102" s="11"/>
      <c r="C102" s="1"/>
      <c r="D102" s="22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30" customFormat="1" x14ac:dyDescent="0.2">
      <c r="A103" s="1"/>
      <c r="B103" s="11"/>
      <c r="C103" s="12"/>
      <c r="D103" s="23"/>
      <c r="E103" s="11"/>
      <c r="F103" s="12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37" customFormat="1" ht="21" customHeight="1" x14ac:dyDescent="0.25">
      <c r="A104" s="1"/>
      <c r="B104" s="11"/>
      <c r="C104" s="12"/>
      <c r="D104" s="23"/>
      <c r="E104" s="11"/>
      <c r="F104" s="12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37" customFormat="1" ht="21" customHeight="1" x14ac:dyDescent="0.25">
      <c r="A105" s="1"/>
      <c r="B105" s="11"/>
      <c r="C105" s="12"/>
      <c r="D105" s="23"/>
      <c r="E105" s="11"/>
      <c r="F105" s="12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37" customFormat="1" ht="21" customHeight="1" x14ac:dyDescent="0.25">
      <c r="A106" s="1"/>
      <c r="B106" s="11"/>
      <c r="C106" s="12"/>
      <c r="D106" s="23"/>
      <c r="E106" s="11"/>
      <c r="F106" s="12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37" customFormat="1" ht="21" customHeight="1" x14ac:dyDescent="0.25">
      <c r="A107" s="1"/>
      <c r="B107" s="11"/>
      <c r="C107" s="12"/>
      <c r="D107" s="23"/>
      <c r="E107" s="11"/>
      <c r="F107" s="12"/>
      <c r="G107" s="13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37" customFormat="1" ht="21" customHeight="1" x14ac:dyDescent="0.25">
      <c r="A108" s="1"/>
      <c r="B108" s="11"/>
      <c r="C108" s="12"/>
      <c r="D108" s="22"/>
      <c r="E108" s="11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37" customFormat="1" ht="21" customHeight="1" x14ac:dyDescent="0.25">
      <c r="A109" s="1"/>
      <c r="B109" s="3"/>
      <c r="C109" s="12"/>
      <c r="D109" s="22"/>
      <c r="E109" s="3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37" customFormat="1" ht="21" customHeight="1" x14ac:dyDescent="0.25">
      <c r="A110" s="1"/>
      <c r="B110" s="3"/>
      <c r="C110" s="12"/>
      <c r="D110" s="22"/>
      <c r="E110" s="3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33.75" customHeight="1" x14ac:dyDescent="0.2">
      <c r="B111" s="3"/>
      <c r="E111" s="3"/>
    </row>
    <row r="112" spans="1:17" ht="22.5" customHeight="1" x14ac:dyDescent="0.2">
      <c r="B112" s="3"/>
      <c r="E112" s="3"/>
    </row>
    <row r="113" spans="1:10" ht="27.75" customHeight="1" x14ac:dyDescent="0.2">
      <c r="B113" s="14"/>
      <c r="C113" s="5"/>
      <c r="D113" s="24"/>
      <c r="E113" s="14"/>
      <c r="F113" s="5"/>
      <c r="G113" s="5"/>
    </row>
    <row r="114" spans="1:10" ht="16.5" customHeight="1" x14ac:dyDescent="0.2">
      <c r="B114" s="3"/>
      <c r="D114" s="24"/>
      <c r="E114" s="3"/>
      <c r="G114" s="5"/>
    </row>
    <row r="115" spans="1:10" ht="24" customHeight="1" x14ac:dyDescent="0.2">
      <c r="B115" s="3"/>
      <c r="D115" s="24"/>
      <c r="E115" s="3"/>
      <c r="G115" s="5"/>
    </row>
    <row r="116" spans="1:10" ht="15.75" x14ac:dyDescent="0.25">
      <c r="A116" s="15"/>
      <c r="B116" s="3"/>
      <c r="E116" s="3"/>
    </row>
    <row r="117" spans="1:10" ht="15.75" x14ac:dyDescent="0.25">
      <c r="A117" s="15"/>
      <c r="B117" s="3"/>
      <c r="E117" s="3"/>
      <c r="H117" s="3"/>
    </row>
    <row r="118" spans="1:10" ht="15.75" x14ac:dyDescent="0.25">
      <c r="A118" s="15"/>
      <c r="B118" s="3"/>
      <c r="C118" s="12"/>
      <c r="D118" s="23"/>
      <c r="E118" s="3"/>
      <c r="F118" s="12"/>
      <c r="G118" s="13"/>
      <c r="I118" s="13"/>
      <c r="J118" s="7"/>
    </row>
    <row r="119" spans="1:10" x14ac:dyDescent="0.2">
      <c r="B119" s="3"/>
      <c r="C119" s="12"/>
      <c r="D119" s="23"/>
      <c r="E119" s="3"/>
      <c r="F119" s="12"/>
      <c r="G119" s="13"/>
    </row>
    <row r="120" spans="1:10" x14ac:dyDescent="0.2">
      <c r="B120" s="3"/>
      <c r="C120" s="12"/>
      <c r="D120" s="23"/>
      <c r="E120" s="3"/>
      <c r="F120" s="12"/>
      <c r="G120" s="13"/>
    </row>
    <row r="121" spans="1:10" x14ac:dyDescent="0.2">
      <c r="B121" s="3"/>
      <c r="C121" s="12"/>
      <c r="D121" s="23"/>
      <c r="E121" s="3"/>
      <c r="F121" s="12"/>
      <c r="G121" s="13"/>
    </row>
    <row r="122" spans="1:10" x14ac:dyDescent="0.2">
      <c r="B122" s="3"/>
      <c r="C122" s="12"/>
      <c r="D122" s="23"/>
      <c r="E122" s="3"/>
      <c r="F122" s="12"/>
      <c r="G122" s="13"/>
    </row>
    <row r="123" spans="1:10" ht="15.75" x14ac:dyDescent="0.25">
      <c r="A123" s="6"/>
      <c r="B123" s="3"/>
      <c r="C123" s="12"/>
      <c r="D123" s="23"/>
      <c r="E123" s="3"/>
      <c r="F123" s="12"/>
      <c r="G123" s="13"/>
    </row>
    <row r="124" spans="1:10" x14ac:dyDescent="0.2">
      <c r="B124" s="3"/>
      <c r="E124" s="3"/>
    </row>
    <row r="125" spans="1:10" ht="15.75" x14ac:dyDescent="0.25">
      <c r="A125" s="6"/>
      <c r="B125" s="3"/>
      <c r="E125" s="3"/>
    </row>
    <row r="126" spans="1:10" ht="15.75" x14ac:dyDescent="0.2">
      <c r="A126" s="4"/>
      <c r="B126" s="3"/>
      <c r="E126" s="3"/>
    </row>
    <row r="127" spans="1:10" x14ac:dyDescent="0.2">
      <c r="B127" s="3"/>
      <c r="E127" s="3"/>
    </row>
    <row r="128" spans="1:10" ht="15.75" x14ac:dyDescent="0.25">
      <c r="A128" s="6"/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B134" s="3"/>
      <c r="E134" s="3"/>
    </row>
    <row r="135" spans="1:7" x14ac:dyDescent="0.2">
      <c r="B135" s="3"/>
      <c r="E135" s="3"/>
    </row>
    <row r="136" spans="1:7" x14ac:dyDescent="0.2">
      <c r="A136" s="10"/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E141" s="3"/>
    </row>
    <row r="142" spans="1:7" x14ac:dyDescent="0.2">
      <c r="B142" s="3"/>
      <c r="E142" s="3"/>
    </row>
    <row r="143" spans="1:7" x14ac:dyDescent="0.2">
      <c r="B143" s="3"/>
      <c r="C143" s="12"/>
      <c r="D143" s="23"/>
      <c r="E143" s="3"/>
      <c r="F143" s="12"/>
      <c r="G143" s="13"/>
    </row>
    <row r="144" spans="1:7" x14ac:dyDescent="0.2">
      <c r="B144" s="3"/>
      <c r="C144" s="12"/>
      <c r="D144" s="23"/>
      <c r="E144" s="3"/>
      <c r="F144" s="12"/>
      <c r="G144" s="13"/>
    </row>
    <row r="145" spans="1:7" x14ac:dyDescent="0.2">
      <c r="B145" s="3"/>
      <c r="C145" s="12"/>
      <c r="D145" s="23"/>
      <c r="E145" s="3"/>
      <c r="F145" s="12"/>
      <c r="G145" s="13"/>
    </row>
    <row r="146" spans="1:7" x14ac:dyDescent="0.2">
      <c r="B146" s="3"/>
      <c r="C146" s="12"/>
      <c r="D146" s="23"/>
      <c r="E146" s="3"/>
      <c r="F146" s="12"/>
      <c r="G146" s="13"/>
    </row>
    <row r="147" spans="1:7" ht="15.75" x14ac:dyDescent="0.25">
      <c r="A147" s="15"/>
      <c r="B147" s="3"/>
      <c r="C147" s="12"/>
      <c r="D147" s="23"/>
      <c r="E147" s="3"/>
      <c r="F147" s="12"/>
      <c r="G147" s="13"/>
    </row>
    <row r="148" spans="1:7" ht="15.75" x14ac:dyDescent="0.25">
      <c r="A148" s="6"/>
      <c r="B148" s="3"/>
      <c r="C148" s="12"/>
      <c r="D148" s="23"/>
      <c r="E148" s="3"/>
      <c r="F148" s="12"/>
      <c r="G148" s="13"/>
    </row>
    <row r="149" spans="1:7" ht="15.75" x14ac:dyDescent="0.25">
      <c r="A149" s="8"/>
      <c r="B149" s="3"/>
      <c r="C149" s="12"/>
      <c r="D149" s="23"/>
      <c r="E149" s="3"/>
      <c r="F149" s="12"/>
      <c r="G149" s="13"/>
    </row>
    <row r="150" spans="1:7" x14ac:dyDescent="0.2">
      <c r="B150" s="3"/>
      <c r="C150" s="12"/>
      <c r="D150" s="23"/>
      <c r="E150" s="3"/>
      <c r="F150" s="12"/>
      <c r="G150" s="13"/>
    </row>
    <row r="151" spans="1:7" x14ac:dyDescent="0.2">
      <c r="A151" s="10"/>
      <c r="B151" s="3"/>
      <c r="C151" s="12"/>
      <c r="D151" s="23"/>
      <c r="E151" s="3"/>
      <c r="F151" s="12"/>
      <c r="G151" s="13"/>
    </row>
    <row r="152" spans="1:7" x14ac:dyDescent="0.2">
      <c r="B152" s="3"/>
      <c r="C152" s="12"/>
      <c r="D152" s="23"/>
      <c r="E152" s="3"/>
      <c r="F152" s="12"/>
      <c r="G152" s="13"/>
    </row>
    <row r="153" spans="1:7" x14ac:dyDescent="0.2">
      <c r="A153" s="10"/>
      <c r="B153" s="3"/>
      <c r="C153" s="12"/>
      <c r="D153" s="23"/>
      <c r="E153" s="3"/>
      <c r="F153" s="12"/>
      <c r="G153" s="13"/>
    </row>
    <row r="154" spans="1:7" x14ac:dyDescent="0.2">
      <c r="B154" s="3"/>
      <c r="C154" s="12"/>
      <c r="D154" s="23"/>
      <c r="E154" s="3"/>
      <c r="F154" s="12"/>
      <c r="G154" s="13"/>
    </row>
    <row r="155" spans="1:7" ht="15.75" x14ac:dyDescent="0.25">
      <c r="A155" s="15"/>
      <c r="C155" s="12"/>
      <c r="D155" s="23"/>
      <c r="F155" s="12"/>
      <c r="G155" s="13"/>
    </row>
    <row r="156" spans="1:7" ht="15.75" x14ac:dyDescent="0.25">
      <c r="A156" s="15"/>
      <c r="C156" s="12"/>
      <c r="D156" s="23"/>
      <c r="F156" s="12"/>
      <c r="G156" s="13"/>
    </row>
    <row r="157" spans="1:7" ht="15.75" x14ac:dyDescent="0.25">
      <c r="A157" s="15"/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D160" s="23"/>
      <c r="F160" s="12"/>
      <c r="G160" s="13"/>
    </row>
    <row r="161" spans="1:7" x14ac:dyDescent="0.2">
      <c r="B161" s="10"/>
      <c r="C161" s="16"/>
      <c r="D161" s="25"/>
      <c r="E161" s="10"/>
      <c r="F161" s="16"/>
      <c r="G161" s="17"/>
    </row>
    <row r="162" spans="1:7" ht="15.75" x14ac:dyDescent="0.25">
      <c r="A162" s="6"/>
      <c r="C162" s="12"/>
      <c r="D162" s="23"/>
      <c r="F162" s="12"/>
      <c r="G162" s="13"/>
    </row>
    <row r="163" spans="1:7" x14ac:dyDescent="0.2">
      <c r="B163" s="10"/>
      <c r="C163" s="16"/>
      <c r="D163" s="25"/>
      <c r="E163" s="10"/>
      <c r="F163" s="16"/>
      <c r="G163" s="17"/>
    </row>
    <row r="164" spans="1:7" ht="15.75" x14ac:dyDescent="0.25">
      <c r="A164" s="6"/>
      <c r="C164" s="12"/>
      <c r="D164" s="23"/>
      <c r="F164" s="12"/>
      <c r="G164" s="13"/>
    </row>
    <row r="165" spans="1:7" ht="15.75" x14ac:dyDescent="0.2">
      <c r="A165" s="4"/>
      <c r="C165" s="12"/>
      <c r="F165" s="12"/>
    </row>
    <row r="166" spans="1:7" x14ac:dyDescent="0.2">
      <c r="C166" s="12"/>
      <c r="F166" s="12"/>
    </row>
    <row r="167" spans="1:7" ht="15.75" x14ac:dyDescent="0.25">
      <c r="A167" s="6"/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C173" s="12"/>
      <c r="F173" s="12"/>
    </row>
    <row r="174" spans="1:7" x14ac:dyDescent="0.2">
      <c r="C174" s="12"/>
      <c r="F174" s="12"/>
    </row>
    <row r="175" spans="1:7" x14ac:dyDescent="0.2">
      <c r="A175" s="10"/>
      <c r="B175" s="5"/>
      <c r="E175" s="5"/>
    </row>
    <row r="176" spans="1:7" x14ac:dyDescent="0.2">
      <c r="B176" s="5"/>
      <c r="C176" s="5"/>
      <c r="D176" s="24"/>
      <c r="E176" s="5"/>
      <c r="F176" s="5"/>
      <c r="G176" s="5"/>
    </row>
    <row r="177" spans="1:7" x14ac:dyDescent="0.2">
      <c r="D177" s="24"/>
      <c r="G177" s="5"/>
    </row>
    <row r="179" spans="1:7" x14ac:dyDescent="0.2"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x14ac:dyDescent="0.2">
      <c r="C181" s="12"/>
      <c r="D181" s="23"/>
      <c r="F181" s="12"/>
      <c r="G181" s="13"/>
    </row>
    <row r="182" spans="1:7" x14ac:dyDescent="0.2">
      <c r="C182" s="12"/>
      <c r="D182" s="23"/>
      <c r="F182" s="12"/>
      <c r="G182" s="13"/>
    </row>
    <row r="183" spans="1:7" x14ac:dyDescent="0.2">
      <c r="C183" s="12"/>
      <c r="D183" s="23"/>
      <c r="F183" s="12"/>
      <c r="G183" s="13"/>
    </row>
    <row r="184" spans="1:7" x14ac:dyDescent="0.2">
      <c r="C184" s="12"/>
      <c r="D184" s="23"/>
      <c r="F184" s="12"/>
      <c r="G184" s="13"/>
    </row>
    <row r="185" spans="1:7" x14ac:dyDescent="0.2">
      <c r="B185" s="10"/>
      <c r="C185" s="16"/>
      <c r="D185" s="25"/>
      <c r="E185" s="10"/>
      <c r="F185" s="16"/>
      <c r="G185" s="17"/>
    </row>
    <row r="186" spans="1:7" ht="15.75" x14ac:dyDescent="0.25">
      <c r="A186" s="15"/>
      <c r="C186" s="12"/>
      <c r="D186" s="23"/>
      <c r="F186" s="12"/>
      <c r="G186" s="13"/>
    </row>
    <row r="187" spans="1:7" ht="15.75" x14ac:dyDescent="0.25">
      <c r="A187" s="6"/>
      <c r="C187" s="12"/>
      <c r="D187" s="23"/>
      <c r="F187" s="12"/>
      <c r="G187" s="13"/>
    </row>
    <row r="188" spans="1:7" ht="15.75" x14ac:dyDescent="0.25">
      <c r="A188" s="8"/>
      <c r="C188" s="12"/>
      <c r="D188" s="23"/>
      <c r="F188" s="12"/>
      <c r="G188" s="13"/>
    </row>
    <row r="189" spans="1:7" x14ac:dyDescent="0.2">
      <c r="C189" s="12"/>
      <c r="D189" s="23"/>
      <c r="F189" s="12"/>
      <c r="G189" s="13"/>
    </row>
    <row r="190" spans="1:7" x14ac:dyDescent="0.2">
      <c r="A190" s="10"/>
      <c r="C190" s="12"/>
      <c r="D190" s="23"/>
      <c r="F190" s="12"/>
      <c r="G190" s="13"/>
    </row>
    <row r="191" spans="1:7" x14ac:dyDescent="0.2">
      <c r="C191" s="12"/>
      <c r="D191" s="23"/>
      <c r="F191" s="12"/>
      <c r="G191" s="13"/>
    </row>
    <row r="192" spans="1:7" x14ac:dyDescent="0.2">
      <c r="A192" s="10"/>
      <c r="C192" s="12"/>
      <c r="D192" s="23"/>
      <c r="F192" s="12"/>
      <c r="G192" s="13"/>
    </row>
    <row r="193" spans="1:7" x14ac:dyDescent="0.2">
      <c r="C193" s="12"/>
      <c r="D193" s="23"/>
      <c r="F193" s="12"/>
      <c r="G193" s="13"/>
    </row>
    <row r="194" spans="1:7" ht="15.75" x14ac:dyDescent="0.25">
      <c r="A194" s="15"/>
      <c r="C194" s="12"/>
      <c r="D194" s="23"/>
      <c r="F194" s="12"/>
      <c r="G194" s="13"/>
    </row>
    <row r="195" spans="1:7" ht="15.75" x14ac:dyDescent="0.25">
      <c r="A195" s="15"/>
      <c r="C195" s="12"/>
      <c r="D195" s="23"/>
      <c r="F195" s="12"/>
      <c r="G195" s="13"/>
    </row>
    <row r="196" spans="1:7" ht="15.75" x14ac:dyDescent="0.25">
      <c r="A196" s="15"/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D199" s="23"/>
      <c r="F199" s="12"/>
      <c r="G199" s="13"/>
    </row>
    <row r="200" spans="1:7" x14ac:dyDescent="0.2">
      <c r="B200" s="10"/>
      <c r="C200" s="16"/>
      <c r="D200" s="25"/>
      <c r="E200" s="10"/>
      <c r="F200" s="16"/>
      <c r="G200" s="17"/>
    </row>
    <row r="201" spans="1:7" ht="15.75" x14ac:dyDescent="0.25">
      <c r="A201" s="6"/>
      <c r="C201" s="12"/>
      <c r="D201" s="23"/>
      <c r="F201" s="12"/>
      <c r="G201" s="13"/>
    </row>
    <row r="202" spans="1:7" x14ac:dyDescent="0.2">
      <c r="B202" s="10"/>
      <c r="C202" s="16"/>
      <c r="D202" s="25"/>
      <c r="E202" s="10"/>
      <c r="F202" s="16"/>
      <c r="G202" s="17"/>
    </row>
    <row r="203" spans="1:7" ht="15.75" x14ac:dyDescent="0.25">
      <c r="A203" s="6"/>
      <c r="C203" s="12"/>
      <c r="D203" s="23"/>
      <c r="F203" s="12"/>
      <c r="G203" s="13"/>
    </row>
    <row r="204" spans="1:7" ht="15.75" x14ac:dyDescent="0.2">
      <c r="A204" s="4"/>
      <c r="C204" s="12"/>
      <c r="F204" s="12"/>
    </row>
    <row r="205" spans="1:7" x14ac:dyDescent="0.2">
      <c r="C205" s="12"/>
      <c r="F205" s="12"/>
    </row>
    <row r="206" spans="1:7" ht="15.75" x14ac:dyDescent="0.25">
      <c r="A206" s="6"/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C212" s="12"/>
      <c r="F212" s="12"/>
    </row>
    <row r="213" spans="1:7" x14ac:dyDescent="0.2">
      <c r="C213" s="12"/>
      <c r="F213" s="12"/>
    </row>
    <row r="214" spans="1:7" x14ac:dyDescent="0.2">
      <c r="A214" s="10"/>
      <c r="B214" s="5"/>
      <c r="E214" s="5"/>
    </row>
    <row r="215" spans="1:7" x14ac:dyDescent="0.2">
      <c r="B215" s="5"/>
      <c r="C215" s="5"/>
      <c r="D215" s="24"/>
      <c r="E215" s="5"/>
      <c r="F215" s="5"/>
      <c r="G215" s="5"/>
    </row>
    <row r="216" spans="1:7" x14ac:dyDescent="0.2">
      <c r="D216" s="24"/>
      <c r="G216" s="5"/>
    </row>
    <row r="218" spans="1:7" x14ac:dyDescent="0.2"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x14ac:dyDescent="0.2">
      <c r="C220" s="12"/>
      <c r="D220" s="23"/>
      <c r="F220" s="12"/>
      <c r="G220" s="13"/>
    </row>
    <row r="221" spans="1:7" x14ac:dyDescent="0.2">
      <c r="C221" s="12"/>
      <c r="D221" s="23"/>
      <c r="F221" s="12"/>
      <c r="G221" s="13"/>
    </row>
    <row r="222" spans="1:7" x14ac:dyDescent="0.2">
      <c r="C222" s="12"/>
      <c r="D222" s="23"/>
      <c r="F222" s="12"/>
      <c r="G222" s="13"/>
    </row>
    <row r="223" spans="1:7" x14ac:dyDescent="0.2">
      <c r="C223" s="12"/>
      <c r="D223" s="23"/>
      <c r="F223" s="12"/>
      <c r="G223" s="13"/>
    </row>
    <row r="224" spans="1:7" x14ac:dyDescent="0.2">
      <c r="B224" s="10"/>
      <c r="C224" s="16"/>
      <c r="D224" s="25"/>
      <c r="E224" s="10"/>
      <c r="F224" s="16"/>
      <c r="G224" s="17"/>
    </row>
    <row r="225" spans="1:7" ht="15.75" x14ac:dyDescent="0.25">
      <c r="A225" s="15"/>
      <c r="C225" s="12"/>
      <c r="D225" s="23"/>
      <c r="F225" s="12"/>
      <c r="G225" s="13"/>
    </row>
    <row r="226" spans="1:7" ht="15.75" x14ac:dyDescent="0.25">
      <c r="A226" s="6"/>
      <c r="C226" s="12"/>
      <c r="D226" s="23"/>
      <c r="F226" s="12"/>
      <c r="G226" s="13"/>
    </row>
    <row r="227" spans="1:7" ht="15.75" x14ac:dyDescent="0.25">
      <c r="A227" s="8"/>
      <c r="C227" s="12"/>
      <c r="D227" s="23"/>
      <c r="F227" s="12"/>
      <c r="G227" s="13"/>
    </row>
    <row r="228" spans="1:7" x14ac:dyDescent="0.2">
      <c r="C228" s="12"/>
      <c r="D228" s="23"/>
      <c r="F228" s="12"/>
      <c r="G228" s="13"/>
    </row>
    <row r="229" spans="1:7" x14ac:dyDescent="0.2">
      <c r="A229" s="10"/>
      <c r="C229" s="12"/>
      <c r="D229" s="23"/>
      <c r="F229" s="12"/>
      <c r="G229" s="13"/>
    </row>
    <row r="230" spans="1:7" x14ac:dyDescent="0.2">
      <c r="C230" s="12"/>
      <c r="D230" s="23"/>
      <c r="F230" s="12"/>
      <c r="G230" s="13"/>
    </row>
    <row r="231" spans="1:7" x14ac:dyDescent="0.2">
      <c r="A231" s="10"/>
      <c r="C231" s="12"/>
      <c r="D231" s="23"/>
      <c r="F231" s="12"/>
      <c r="G231" s="13"/>
    </row>
    <row r="232" spans="1:7" x14ac:dyDescent="0.2">
      <c r="C232" s="12"/>
      <c r="D232" s="23"/>
      <c r="F232" s="12"/>
      <c r="G232" s="13"/>
    </row>
    <row r="233" spans="1:7" ht="15.75" x14ac:dyDescent="0.25">
      <c r="A233" s="15"/>
      <c r="C233" s="12"/>
      <c r="D233" s="23"/>
      <c r="F233" s="12"/>
      <c r="G233" s="13"/>
    </row>
    <row r="234" spans="1:7" ht="15.75" x14ac:dyDescent="0.25">
      <c r="A234" s="15"/>
      <c r="C234" s="12"/>
      <c r="D234" s="23"/>
      <c r="F234" s="12"/>
      <c r="G234" s="13"/>
    </row>
    <row r="235" spans="1:7" ht="15.75" x14ac:dyDescent="0.25">
      <c r="A235" s="15"/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D238" s="23"/>
      <c r="F238" s="12"/>
      <c r="G238" s="13"/>
    </row>
    <row r="239" spans="1:7" x14ac:dyDescent="0.2">
      <c r="B239" s="10"/>
      <c r="C239" s="16"/>
      <c r="D239" s="25"/>
      <c r="E239" s="10"/>
      <c r="F239" s="16"/>
      <c r="G239" s="17"/>
    </row>
    <row r="240" spans="1:7" ht="15.75" x14ac:dyDescent="0.25">
      <c r="A240" s="6"/>
      <c r="C240" s="12"/>
      <c r="D240" s="23"/>
      <c r="F240" s="12"/>
      <c r="G240" s="13"/>
    </row>
    <row r="241" spans="1:7" x14ac:dyDescent="0.2">
      <c r="B241" s="10"/>
      <c r="C241" s="16"/>
      <c r="D241" s="25"/>
      <c r="E241" s="10"/>
      <c r="F241" s="16"/>
      <c r="G241" s="17"/>
    </row>
    <row r="242" spans="1:7" ht="15.75" x14ac:dyDescent="0.25">
      <c r="A242" s="6"/>
      <c r="C242" s="12"/>
      <c r="D242" s="23"/>
      <c r="F242" s="12"/>
      <c r="G242" s="13"/>
    </row>
    <row r="243" spans="1:7" ht="15.75" x14ac:dyDescent="0.2">
      <c r="A243" s="4"/>
      <c r="C243" s="12"/>
      <c r="F243" s="12"/>
    </row>
    <row r="244" spans="1:7" x14ac:dyDescent="0.2">
      <c r="C244" s="12"/>
      <c r="F244" s="12"/>
    </row>
    <row r="245" spans="1:7" ht="15.75" x14ac:dyDescent="0.25">
      <c r="A245" s="6"/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C251" s="12"/>
      <c r="F251" s="12"/>
    </row>
    <row r="252" spans="1:7" x14ac:dyDescent="0.2">
      <c r="C252" s="12"/>
      <c r="F252" s="12"/>
    </row>
    <row r="253" spans="1:7" x14ac:dyDescent="0.2">
      <c r="A253" s="10"/>
      <c r="B253" s="5"/>
      <c r="E253" s="5"/>
    </row>
    <row r="254" spans="1:7" x14ac:dyDescent="0.2">
      <c r="B254" s="5"/>
      <c r="C254" s="5"/>
      <c r="D254" s="24"/>
      <c r="E254" s="5"/>
      <c r="F254" s="5"/>
      <c r="G254" s="5"/>
    </row>
    <row r="255" spans="1:7" x14ac:dyDescent="0.2">
      <c r="D255" s="24"/>
      <c r="G255" s="5"/>
    </row>
    <row r="257" spans="1:7" x14ac:dyDescent="0.2"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x14ac:dyDescent="0.2">
      <c r="C259" s="12"/>
      <c r="D259" s="23"/>
      <c r="F259" s="12"/>
      <c r="G259" s="13"/>
    </row>
    <row r="260" spans="1:7" x14ac:dyDescent="0.2">
      <c r="C260" s="12"/>
      <c r="D260" s="23"/>
      <c r="F260" s="12"/>
      <c r="G260" s="13"/>
    </row>
    <row r="261" spans="1:7" x14ac:dyDescent="0.2">
      <c r="C261" s="12"/>
      <c r="D261" s="23"/>
      <c r="F261" s="12"/>
      <c r="G261" s="13"/>
    </row>
    <row r="262" spans="1:7" x14ac:dyDescent="0.2">
      <c r="C262" s="12"/>
      <c r="D262" s="23"/>
      <c r="F262" s="12"/>
      <c r="G262" s="13"/>
    </row>
    <row r="263" spans="1:7" x14ac:dyDescent="0.2">
      <c r="B263" s="10"/>
      <c r="C263" s="16"/>
      <c r="D263" s="25"/>
      <c r="E263" s="10"/>
      <c r="F263" s="16"/>
      <c r="G263" s="17"/>
    </row>
    <row r="264" spans="1:7" ht="15.75" x14ac:dyDescent="0.25">
      <c r="A264" s="15"/>
      <c r="C264" s="12"/>
      <c r="D264" s="23"/>
      <c r="F264" s="12"/>
      <c r="G264" s="13"/>
    </row>
    <row r="265" spans="1:7" ht="15.75" x14ac:dyDescent="0.25">
      <c r="A265" s="6"/>
      <c r="C265" s="12"/>
      <c r="D265" s="23"/>
      <c r="F265" s="12"/>
      <c r="G265" s="13"/>
    </row>
    <row r="266" spans="1:7" ht="15.75" x14ac:dyDescent="0.25">
      <c r="A266" s="8"/>
      <c r="C266" s="12"/>
      <c r="D266" s="23"/>
      <c r="F266" s="12"/>
      <c r="G266" s="13"/>
    </row>
    <row r="267" spans="1:7" x14ac:dyDescent="0.2">
      <c r="C267" s="12"/>
      <c r="D267" s="23"/>
      <c r="F267" s="12"/>
      <c r="G267" s="13"/>
    </row>
    <row r="268" spans="1:7" x14ac:dyDescent="0.2">
      <c r="A268" s="10"/>
      <c r="C268" s="12"/>
      <c r="D268" s="23"/>
      <c r="F268" s="12"/>
      <c r="G268" s="13"/>
    </row>
    <row r="269" spans="1:7" x14ac:dyDescent="0.2">
      <c r="C269" s="12"/>
      <c r="D269" s="23"/>
      <c r="F269" s="12"/>
      <c r="G269" s="13"/>
    </row>
    <row r="270" spans="1:7" x14ac:dyDescent="0.2">
      <c r="A270" s="10"/>
      <c r="C270" s="12"/>
      <c r="D270" s="23"/>
      <c r="F270" s="12"/>
      <c r="G270" s="13"/>
    </row>
    <row r="271" spans="1:7" x14ac:dyDescent="0.2">
      <c r="C271" s="12"/>
      <c r="D271" s="23"/>
      <c r="F271" s="12"/>
      <c r="G271" s="13"/>
    </row>
    <row r="272" spans="1:7" ht="15.75" x14ac:dyDescent="0.25">
      <c r="A272" s="15"/>
      <c r="C272" s="12"/>
      <c r="D272" s="23"/>
      <c r="F272" s="12"/>
      <c r="G272" s="13"/>
    </row>
    <row r="273" spans="1:7" ht="15.75" x14ac:dyDescent="0.25">
      <c r="A273" s="15"/>
      <c r="C273" s="12"/>
      <c r="D273" s="23"/>
      <c r="F273" s="12"/>
      <c r="G273" s="13"/>
    </row>
    <row r="274" spans="1:7" ht="15.75" x14ac:dyDescent="0.25">
      <c r="A274" s="15"/>
      <c r="C274" s="12"/>
      <c r="F274" s="12"/>
    </row>
    <row r="275" spans="1:7" x14ac:dyDescent="0.2">
      <c r="C275" s="12"/>
      <c r="F275" s="12"/>
    </row>
    <row r="276" spans="1:7" x14ac:dyDescent="0.2">
      <c r="C276" s="12"/>
      <c r="F276" s="12"/>
    </row>
    <row r="277" spans="1:7" x14ac:dyDescent="0.2">
      <c r="C277" s="12"/>
      <c r="D277" s="23"/>
      <c r="F277" s="12"/>
      <c r="G277" s="13"/>
    </row>
    <row r="278" spans="1:7" x14ac:dyDescent="0.2">
      <c r="B278" s="10"/>
      <c r="C278" s="16"/>
      <c r="D278" s="25"/>
      <c r="E278" s="10"/>
      <c r="F278" s="16"/>
      <c r="G278" s="17"/>
    </row>
    <row r="279" spans="1:7" ht="15.75" x14ac:dyDescent="0.25">
      <c r="A279" s="6"/>
      <c r="C279" s="12"/>
      <c r="D279" s="23"/>
      <c r="F279" s="12"/>
      <c r="G279" s="13"/>
    </row>
    <row r="280" spans="1:7" x14ac:dyDescent="0.2">
      <c r="B280" s="10"/>
      <c r="C280" s="16"/>
      <c r="D280" s="25"/>
      <c r="E280" s="10"/>
      <c r="F280" s="16"/>
      <c r="G280" s="17"/>
    </row>
    <row r="281" spans="1:7" ht="15.75" x14ac:dyDescent="0.25">
      <c r="A281" s="6"/>
      <c r="C281" s="12"/>
      <c r="D281" s="23"/>
      <c r="F281" s="12"/>
      <c r="G281" s="13"/>
    </row>
    <row r="282" spans="1:7" ht="15.75" x14ac:dyDescent="0.25">
      <c r="A282" s="6"/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B292" s="5"/>
      <c r="E292" s="5"/>
    </row>
    <row r="293" spans="2:7" x14ac:dyDescent="0.2">
      <c r="B293" s="5"/>
      <c r="C293" s="5"/>
      <c r="D293" s="24"/>
      <c r="E293" s="5"/>
      <c r="F293" s="5"/>
      <c r="G293" s="5"/>
    </row>
    <row r="294" spans="2:7" x14ac:dyDescent="0.2">
      <c r="D294" s="24"/>
      <c r="G294" s="5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B302" s="10"/>
      <c r="C302" s="16"/>
      <c r="D302" s="26"/>
      <c r="E302" s="10"/>
      <c r="F302" s="16"/>
      <c r="G302" s="10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B317" s="10"/>
      <c r="C317" s="16"/>
      <c r="D317" s="26"/>
      <c r="E317" s="10"/>
      <c r="F317" s="16"/>
      <c r="G317" s="10"/>
    </row>
    <row r="318" spans="2:7" x14ac:dyDescent="0.2">
      <c r="C318" s="12"/>
      <c r="F318" s="12"/>
    </row>
    <row r="319" spans="2:7" x14ac:dyDescent="0.2">
      <c r="B319" s="10"/>
      <c r="C319" s="16"/>
      <c r="D319" s="27"/>
      <c r="E319" s="10"/>
      <c r="F319" s="16"/>
      <c r="G319" s="18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29" spans="3:7" x14ac:dyDescent="0.2">
      <c r="C329" s="12"/>
      <c r="F329" s="12"/>
    </row>
    <row r="330" spans="3:7" x14ac:dyDescent="0.2">
      <c r="C330" s="12"/>
      <c r="F330" s="12"/>
    </row>
    <row r="335" spans="3:7" x14ac:dyDescent="0.2">
      <c r="D335" s="28"/>
      <c r="G335" s="12"/>
    </row>
    <row r="336" spans="3:7" x14ac:dyDescent="0.2">
      <c r="D336" s="28"/>
      <c r="G336" s="12"/>
    </row>
    <row r="337" spans="4:7" x14ac:dyDescent="0.2">
      <c r="D337" s="28"/>
      <c r="G337" s="12"/>
    </row>
    <row r="338" spans="4:7" x14ac:dyDescent="0.2">
      <c r="D338" s="28"/>
      <c r="G338" s="12"/>
    </row>
    <row r="339" spans="4:7" x14ac:dyDescent="0.2">
      <c r="D339" s="28"/>
      <c r="G339" s="12"/>
    </row>
    <row r="340" spans="4:7" x14ac:dyDescent="0.2">
      <c r="D340" s="28"/>
      <c r="G340" s="12"/>
    </row>
    <row r="341" spans="4:7" x14ac:dyDescent="0.2">
      <c r="D341" s="28"/>
      <c r="G341" s="12"/>
    </row>
    <row r="342" spans="4:7" x14ac:dyDescent="0.2">
      <c r="D342" s="28"/>
      <c r="G342" s="12"/>
    </row>
    <row r="343" spans="4:7" x14ac:dyDescent="0.2">
      <c r="D343" s="28"/>
      <c r="G343" s="12"/>
    </row>
    <row r="344" spans="4:7" x14ac:dyDescent="0.2">
      <c r="D344" s="28"/>
      <c r="G344" s="12"/>
    </row>
    <row r="345" spans="4:7" x14ac:dyDescent="0.2">
      <c r="D345" s="28"/>
      <c r="G345" s="12"/>
    </row>
    <row r="346" spans="4:7" x14ac:dyDescent="0.2">
      <c r="D346" s="28"/>
      <c r="G346" s="12"/>
    </row>
    <row r="347" spans="4:7" x14ac:dyDescent="0.2">
      <c r="D347" s="28"/>
      <c r="G347" s="12"/>
    </row>
  </sheetData>
  <mergeCells count="5">
    <mergeCell ref="B83:C83"/>
    <mergeCell ref="A85:I85"/>
    <mergeCell ref="A86:I86"/>
    <mergeCell ref="A2:A3"/>
    <mergeCell ref="B2:G2"/>
  </mergeCells>
  <phoneticPr fontId="15" type="noConversion"/>
  <pageMargins left="0.78" right="0.6" top="0.84" bottom="0.73" header="0.83" footer="0.75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46"/>
  <sheetViews>
    <sheetView topLeftCell="A64" zoomScale="70" workbookViewId="0">
      <selection activeCell="M83" sqref="M83"/>
    </sheetView>
  </sheetViews>
  <sheetFormatPr defaultColWidth="11.5" defaultRowHeight="15" x14ac:dyDescent="0.2"/>
  <cols>
    <col min="1" max="1" width="53.1640625" style="1" customWidth="1"/>
    <col min="2" max="3" width="12.83203125" style="1" customWidth="1"/>
    <col min="4" max="4" width="12.83203125" style="22" customWidth="1"/>
    <col min="5" max="7" width="12.83203125" style="1" customWidth="1"/>
    <col min="8" max="8" width="11.83203125" style="1" customWidth="1"/>
    <col min="9" max="9" width="20.6640625" style="1" customWidth="1"/>
    <col min="10" max="10" width="5.83203125" style="1" customWidth="1"/>
    <col min="11" max="11" width="13" style="1" customWidth="1"/>
    <col min="12" max="12" width="10.83203125" style="1" bestFit="1" customWidth="1"/>
    <col min="13" max="14" width="10.33203125" style="1" bestFit="1" customWidth="1"/>
    <col min="15" max="15" width="8.6640625" style="1" bestFit="1" customWidth="1"/>
    <col min="16" max="16384" width="11.5" style="1"/>
  </cols>
  <sheetData>
    <row r="1" spans="1:17" s="20" customFormat="1" ht="30.75" customHeight="1" x14ac:dyDescent="0.3">
      <c r="A1" s="97" t="s">
        <v>64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  <c r="P1" s="84"/>
      <c r="Q1" s="84"/>
    </row>
    <row r="2" spans="1:17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  <c r="P2" s="84"/>
      <c r="Q2" s="84"/>
    </row>
    <row r="3" spans="1:17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  <c r="P3" s="84"/>
      <c r="Q3" s="84"/>
    </row>
    <row r="4" spans="1:17" s="37" customFormat="1" ht="17.100000000000001" customHeight="1" x14ac:dyDescent="0.25">
      <c r="A4" s="32" t="s">
        <v>56</v>
      </c>
      <c r="B4" s="33">
        <f t="shared" ref="B4:G4" si="0">SUM(B5:B9)</f>
        <v>2946</v>
      </c>
      <c r="C4" s="34">
        <f t="shared" si="0"/>
        <v>2063</v>
      </c>
      <c r="D4" s="31">
        <f t="shared" si="0"/>
        <v>5016</v>
      </c>
      <c r="E4" s="34">
        <f t="shared" si="0"/>
        <v>2806</v>
      </c>
      <c r="F4" s="31">
        <f t="shared" si="0"/>
        <v>612</v>
      </c>
      <c r="G4" s="35">
        <f t="shared" si="0"/>
        <v>416</v>
      </c>
      <c r="H4" s="36">
        <f>SUM(B4:G4)</f>
        <v>13859</v>
      </c>
      <c r="I4" s="62">
        <f t="shared" ref="I4:I35" si="1">H4/B$82 * 100000</f>
        <v>577.03637548376082</v>
      </c>
      <c r="J4" s="38"/>
      <c r="K4" s="86"/>
      <c r="L4" s="86"/>
      <c r="M4" s="86"/>
      <c r="N4" s="84"/>
      <c r="O4" s="84"/>
      <c r="P4" s="84"/>
      <c r="Q4" s="84"/>
    </row>
    <row r="5" spans="1:17" ht="17.100000000000001" customHeight="1" x14ac:dyDescent="0.25">
      <c r="A5" s="159" t="s">
        <v>17</v>
      </c>
      <c r="B5" s="102">
        <v>2856</v>
      </c>
      <c r="C5" s="103">
        <v>1870</v>
      </c>
      <c r="D5" s="104">
        <v>4744</v>
      </c>
      <c r="E5" s="103">
        <v>2727</v>
      </c>
      <c r="F5" s="104">
        <v>607</v>
      </c>
      <c r="G5" s="105">
        <v>413</v>
      </c>
      <c r="H5" s="106">
        <f t="shared" ref="H5:H67" si="2">SUM(B5:G5)</f>
        <v>13217</v>
      </c>
      <c r="I5" s="107">
        <f t="shared" si="1"/>
        <v>550.30592212777742</v>
      </c>
      <c r="K5" s="84"/>
      <c r="L5" s="84"/>
      <c r="M5" s="84"/>
      <c r="N5" s="84"/>
      <c r="O5" s="84"/>
      <c r="P5" s="84"/>
      <c r="Q5" s="84"/>
    </row>
    <row r="6" spans="1:17" ht="17.100000000000001" customHeight="1" x14ac:dyDescent="0.25">
      <c r="A6" s="159" t="s">
        <v>18</v>
      </c>
      <c r="B6" s="102">
        <v>31</v>
      </c>
      <c r="C6" s="103">
        <v>37</v>
      </c>
      <c r="D6" s="104">
        <v>60</v>
      </c>
      <c r="E6" s="103">
        <v>12</v>
      </c>
      <c r="F6" s="104">
        <v>3</v>
      </c>
      <c r="G6" s="105">
        <v>1</v>
      </c>
      <c r="H6" s="106">
        <f t="shared" si="2"/>
        <v>144</v>
      </c>
      <c r="I6" s="107">
        <f t="shared" si="1"/>
        <v>5.9956157060149762</v>
      </c>
      <c r="K6" s="84"/>
      <c r="L6" s="84"/>
      <c r="M6" s="84"/>
      <c r="N6" s="84"/>
      <c r="O6" s="84"/>
      <c r="P6" s="84"/>
      <c r="Q6" s="84"/>
    </row>
    <row r="7" spans="1:17" ht="16.5" customHeight="1" x14ac:dyDescent="0.25">
      <c r="A7" s="159" t="s">
        <v>19</v>
      </c>
      <c r="B7" s="102">
        <v>55</v>
      </c>
      <c r="C7" s="103">
        <v>147</v>
      </c>
      <c r="D7" s="104">
        <v>206</v>
      </c>
      <c r="E7" s="103">
        <v>55</v>
      </c>
      <c r="F7" s="104">
        <v>1</v>
      </c>
      <c r="G7" s="105">
        <v>1</v>
      </c>
      <c r="H7" s="106">
        <f t="shared" si="2"/>
        <v>465</v>
      </c>
      <c r="I7" s="107">
        <f t="shared" si="1"/>
        <v>19.360842384006695</v>
      </c>
      <c r="K7" s="84"/>
      <c r="L7" s="84"/>
      <c r="M7" s="84"/>
      <c r="N7" s="84"/>
      <c r="O7" s="84"/>
      <c r="P7" s="84"/>
      <c r="Q7" s="84"/>
    </row>
    <row r="8" spans="1:17" ht="17.100000000000001" customHeight="1" x14ac:dyDescent="0.25">
      <c r="A8" s="159" t="s">
        <v>38</v>
      </c>
      <c r="B8" s="108">
        <v>1</v>
      </c>
      <c r="C8" s="109">
        <v>0</v>
      </c>
      <c r="D8" s="110">
        <v>0</v>
      </c>
      <c r="E8" s="109">
        <v>1</v>
      </c>
      <c r="F8" s="110">
        <v>0</v>
      </c>
      <c r="G8" s="111">
        <v>0</v>
      </c>
      <c r="H8" s="106">
        <f>SUM(B8:G8)</f>
        <v>2</v>
      </c>
      <c r="I8" s="114">
        <f t="shared" si="1"/>
        <v>8.3272440361319117E-2</v>
      </c>
      <c r="K8" s="84"/>
      <c r="L8" s="84"/>
      <c r="M8" s="84"/>
      <c r="N8" s="84"/>
      <c r="O8" s="84"/>
      <c r="P8" s="84"/>
      <c r="Q8" s="84"/>
    </row>
    <row r="9" spans="1:17" ht="17.100000000000001" customHeight="1" x14ac:dyDescent="0.25">
      <c r="A9" s="160" t="s">
        <v>20</v>
      </c>
      <c r="B9" s="108">
        <v>3</v>
      </c>
      <c r="C9" s="109">
        <v>9</v>
      </c>
      <c r="D9" s="110">
        <v>6</v>
      </c>
      <c r="E9" s="109">
        <v>11</v>
      </c>
      <c r="F9" s="110">
        <v>1</v>
      </c>
      <c r="G9" s="111">
        <v>1</v>
      </c>
      <c r="H9" s="112">
        <f>SUM(B9:G9)</f>
        <v>31</v>
      </c>
      <c r="I9" s="113">
        <f t="shared" si="1"/>
        <v>1.2907228256004464</v>
      </c>
      <c r="K9" s="84"/>
      <c r="L9" s="84"/>
      <c r="M9" s="84"/>
      <c r="N9" s="84"/>
      <c r="O9" s="84"/>
      <c r="P9" s="84"/>
      <c r="Q9" s="84"/>
    </row>
    <row r="10" spans="1:17" s="37" customFormat="1" ht="17.100000000000001" customHeight="1" x14ac:dyDescent="0.25">
      <c r="A10" s="32" t="s">
        <v>60</v>
      </c>
      <c r="B10" s="33">
        <f t="shared" ref="B10:G10" si="3">SUM(B11:B14)</f>
        <v>20</v>
      </c>
      <c r="C10" s="34">
        <f t="shared" si="3"/>
        <v>5</v>
      </c>
      <c r="D10" s="31">
        <f t="shared" si="3"/>
        <v>6</v>
      </c>
      <c r="E10" s="34">
        <f t="shared" si="3"/>
        <v>2</v>
      </c>
      <c r="F10" s="31">
        <f t="shared" si="3"/>
        <v>0</v>
      </c>
      <c r="G10" s="35">
        <f t="shared" si="3"/>
        <v>2</v>
      </c>
      <c r="H10" s="36">
        <f t="shared" si="2"/>
        <v>35</v>
      </c>
      <c r="I10" s="62">
        <f t="shared" si="1"/>
        <v>1.4572677063230846</v>
      </c>
      <c r="K10" s="84"/>
      <c r="L10" s="84"/>
      <c r="M10" s="84"/>
      <c r="N10" s="84"/>
      <c r="O10" s="84"/>
      <c r="P10" s="84"/>
      <c r="Q10" s="84"/>
    </row>
    <row r="11" spans="1:17" s="30" customFormat="1" ht="17.100000000000001" customHeight="1" x14ac:dyDescent="0.25">
      <c r="A11" s="159" t="s">
        <v>17</v>
      </c>
      <c r="B11" s="102">
        <v>20</v>
      </c>
      <c r="C11" s="103">
        <v>5</v>
      </c>
      <c r="D11" s="104">
        <v>5</v>
      </c>
      <c r="E11" s="103">
        <v>1</v>
      </c>
      <c r="F11" s="104">
        <v>0</v>
      </c>
      <c r="G11" s="105">
        <v>1</v>
      </c>
      <c r="H11" s="106">
        <f t="shared" si="2"/>
        <v>32</v>
      </c>
      <c r="I11" s="107">
        <f t="shared" si="1"/>
        <v>1.3323590457811059</v>
      </c>
      <c r="K11" s="84"/>
      <c r="L11" s="84"/>
      <c r="M11" s="84"/>
      <c r="N11" s="84"/>
      <c r="O11" s="84"/>
      <c r="P11" s="84"/>
      <c r="Q11" s="84"/>
    </row>
    <row r="12" spans="1:17" s="30" customFormat="1" ht="17.100000000000001" customHeight="1" x14ac:dyDescent="0.25">
      <c r="A12" s="159" t="s">
        <v>18</v>
      </c>
      <c r="B12" s="102">
        <v>0</v>
      </c>
      <c r="C12" s="103">
        <v>0</v>
      </c>
      <c r="D12" s="104">
        <v>1</v>
      </c>
      <c r="E12" s="103">
        <v>1</v>
      </c>
      <c r="F12" s="104">
        <v>0</v>
      </c>
      <c r="G12" s="105">
        <v>1</v>
      </c>
      <c r="H12" s="106">
        <f>SUM(B12:G12)</f>
        <v>3</v>
      </c>
      <c r="I12" s="114">
        <f t="shared" si="1"/>
        <v>0.12490866054197867</v>
      </c>
      <c r="K12" s="84"/>
      <c r="L12" s="84"/>
      <c r="M12" s="84"/>
      <c r="N12" s="84"/>
      <c r="O12" s="84"/>
      <c r="P12" s="84"/>
      <c r="Q12" s="84"/>
    </row>
    <row r="13" spans="1:17" s="30" customFormat="1" ht="17.100000000000001" customHeight="1" x14ac:dyDescent="0.25">
      <c r="A13" s="159" t="s">
        <v>19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  <c r="K13" s="84"/>
      <c r="L13" s="84"/>
      <c r="M13" s="84"/>
      <c r="N13" s="84"/>
      <c r="O13" s="84"/>
      <c r="P13" s="84"/>
      <c r="Q13" s="84"/>
    </row>
    <row r="14" spans="1:17" ht="17.100000000000001" customHeight="1" x14ac:dyDescent="0.25">
      <c r="A14" s="160" t="s">
        <v>20</v>
      </c>
      <c r="B14" s="115">
        <v>0</v>
      </c>
      <c r="C14" s="116">
        <v>0</v>
      </c>
      <c r="D14" s="117">
        <v>0</v>
      </c>
      <c r="E14" s="116">
        <v>0</v>
      </c>
      <c r="F14" s="117">
        <v>0</v>
      </c>
      <c r="G14" s="118">
        <v>0</v>
      </c>
      <c r="H14" s="119">
        <f t="shared" si="2"/>
        <v>0</v>
      </c>
      <c r="I14" s="120">
        <f t="shared" si="1"/>
        <v>0</v>
      </c>
      <c r="K14" s="84"/>
      <c r="L14" s="84"/>
      <c r="M14" s="84"/>
      <c r="N14" s="84"/>
      <c r="O14" s="84"/>
      <c r="P14" s="84"/>
      <c r="Q14" s="84"/>
    </row>
    <row r="15" spans="1:17" s="37" customFormat="1" ht="17.100000000000001" customHeight="1" x14ac:dyDescent="0.25">
      <c r="A15" s="32" t="s">
        <v>49</v>
      </c>
      <c r="B15" s="33">
        <f t="shared" ref="B15:G15" si="4">SUM(B16:B19)</f>
        <v>16454</v>
      </c>
      <c r="C15" s="34">
        <f t="shared" si="4"/>
        <v>2089</v>
      </c>
      <c r="D15" s="31">
        <f t="shared" si="4"/>
        <v>6098</v>
      </c>
      <c r="E15" s="34">
        <f t="shared" si="4"/>
        <v>6458</v>
      </c>
      <c r="F15" s="31">
        <f t="shared" si="4"/>
        <v>3017</v>
      </c>
      <c r="G15" s="35">
        <f t="shared" si="4"/>
        <v>5183</v>
      </c>
      <c r="H15" s="36">
        <f t="shared" si="2"/>
        <v>39299</v>
      </c>
      <c r="I15" s="75">
        <f t="shared" si="1"/>
        <v>1636.2618168797399</v>
      </c>
      <c r="K15" s="84"/>
      <c r="L15" s="84"/>
      <c r="M15" s="84"/>
      <c r="N15" s="84"/>
      <c r="O15" s="84"/>
      <c r="P15" s="84"/>
      <c r="Q15" s="84"/>
    </row>
    <row r="16" spans="1:17" s="30" customFormat="1" ht="17.100000000000001" customHeight="1" x14ac:dyDescent="0.25">
      <c r="A16" s="159" t="s">
        <v>17</v>
      </c>
      <c r="B16" s="102">
        <v>16444</v>
      </c>
      <c r="C16" s="103">
        <v>2081</v>
      </c>
      <c r="D16" s="104">
        <v>6089</v>
      </c>
      <c r="E16" s="103">
        <v>6453</v>
      </c>
      <c r="F16" s="104">
        <v>3017</v>
      </c>
      <c r="G16" s="105">
        <v>5183</v>
      </c>
      <c r="H16" s="106">
        <f t="shared" si="2"/>
        <v>39267</v>
      </c>
      <c r="I16" s="121">
        <f t="shared" si="1"/>
        <v>1634.9294578339588</v>
      </c>
      <c r="K16" s="84"/>
      <c r="L16" s="84"/>
      <c r="M16" s="84"/>
      <c r="N16" s="84"/>
      <c r="O16" s="84"/>
      <c r="P16" s="84"/>
      <c r="Q16" s="84"/>
    </row>
    <row r="17" spans="1:17" s="30" customFormat="1" ht="17.100000000000001" customHeight="1" x14ac:dyDescent="0.25">
      <c r="A17" s="159" t="s">
        <v>18</v>
      </c>
      <c r="B17" s="102">
        <v>1</v>
      </c>
      <c r="C17" s="103">
        <v>0</v>
      </c>
      <c r="D17" s="104">
        <v>3</v>
      </c>
      <c r="E17" s="103">
        <v>1</v>
      </c>
      <c r="F17" s="104">
        <v>0</v>
      </c>
      <c r="G17" s="105">
        <v>0</v>
      </c>
      <c r="H17" s="106">
        <f t="shared" si="2"/>
        <v>5</v>
      </c>
      <c r="I17" s="122">
        <f t="shared" si="1"/>
        <v>0.20818110090329781</v>
      </c>
      <c r="K17" s="84"/>
      <c r="L17" s="84"/>
      <c r="M17" s="84"/>
      <c r="N17" s="84"/>
      <c r="O17" s="84"/>
      <c r="P17" s="84"/>
      <c r="Q17" s="84"/>
    </row>
    <row r="18" spans="1:17" s="30" customFormat="1" ht="17.100000000000001" customHeight="1" x14ac:dyDescent="0.25">
      <c r="A18" s="159" t="s">
        <v>19</v>
      </c>
      <c r="B18" s="102">
        <v>0</v>
      </c>
      <c r="C18" s="103">
        <v>1</v>
      </c>
      <c r="D18" s="104">
        <v>0</v>
      </c>
      <c r="E18" s="103">
        <v>0</v>
      </c>
      <c r="F18" s="104">
        <v>0</v>
      </c>
      <c r="G18" s="105">
        <v>0</v>
      </c>
      <c r="H18" s="106">
        <f>SUM(B18:G18)</f>
        <v>1</v>
      </c>
      <c r="I18" s="122">
        <f t="shared" si="1"/>
        <v>4.1636220180659558E-2</v>
      </c>
      <c r="K18" s="84"/>
      <c r="L18" s="84"/>
      <c r="M18" s="84"/>
      <c r="N18" s="84"/>
      <c r="O18" s="84"/>
      <c r="P18" s="84"/>
      <c r="Q18" s="84"/>
    </row>
    <row r="19" spans="1:17" s="30" customFormat="1" ht="17.100000000000001" customHeight="1" x14ac:dyDescent="0.25">
      <c r="A19" s="161" t="s">
        <v>20</v>
      </c>
      <c r="B19" s="115">
        <v>9</v>
      </c>
      <c r="C19" s="116">
        <v>7</v>
      </c>
      <c r="D19" s="117">
        <v>6</v>
      </c>
      <c r="E19" s="116">
        <v>4</v>
      </c>
      <c r="F19" s="117">
        <v>0</v>
      </c>
      <c r="G19" s="118">
        <v>0</v>
      </c>
      <c r="H19" s="119">
        <f>SUM(B19:G19)</f>
        <v>26</v>
      </c>
      <c r="I19" s="123">
        <f t="shared" si="1"/>
        <v>1.0825417246971485</v>
      </c>
      <c r="K19" s="84"/>
      <c r="L19" s="84"/>
      <c r="M19" s="84"/>
      <c r="N19" s="84"/>
      <c r="O19" s="84"/>
      <c r="P19" s="84"/>
      <c r="Q19" s="84"/>
    </row>
    <row r="20" spans="1:17" s="30" customFormat="1" ht="17.100000000000001" customHeight="1" x14ac:dyDescent="0.25">
      <c r="A20" s="162" t="s">
        <v>50</v>
      </c>
      <c r="B20" s="33">
        <f t="shared" ref="B20:G20" si="5">SUM(B21:B24)</f>
        <v>50</v>
      </c>
      <c r="C20" s="34">
        <f t="shared" si="5"/>
        <v>33</v>
      </c>
      <c r="D20" s="31">
        <f t="shared" si="5"/>
        <v>112</v>
      </c>
      <c r="E20" s="34">
        <f t="shared" si="5"/>
        <v>54</v>
      </c>
      <c r="F20" s="31">
        <f t="shared" si="5"/>
        <v>15</v>
      </c>
      <c r="G20" s="35">
        <f t="shared" si="5"/>
        <v>15</v>
      </c>
      <c r="H20" s="124">
        <f t="shared" si="2"/>
        <v>279</v>
      </c>
      <c r="I20" s="125">
        <f t="shared" si="1"/>
        <v>11.616505430404017</v>
      </c>
      <c r="K20" s="84"/>
      <c r="L20" s="84"/>
      <c r="M20" s="84"/>
      <c r="N20" s="84"/>
      <c r="O20" s="84"/>
      <c r="P20" s="84"/>
      <c r="Q20" s="84"/>
    </row>
    <row r="21" spans="1:17" s="30" customFormat="1" ht="17.100000000000001" customHeight="1" x14ac:dyDescent="0.25">
      <c r="A21" s="159" t="s">
        <v>17</v>
      </c>
      <c r="B21" s="102">
        <v>47</v>
      </c>
      <c r="C21" s="103">
        <v>33</v>
      </c>
      <c r="D21" s="104">
        <v>107</v>
      </c>
      <c r="E21" s="103">
        <v>52</v>
      </c>
      <c r="F21" s="104">
        <v>15</v>
      </c>
      <c r="G21" s="105">
        <v>15</v>
      </c>
      <c r="H21" s="106">
        <f t="shared" si="2"/>
        <v>269</v>
      </c>
      <c r="I21" s="121">
        <f t="shared" si="1"/>
        <v>11.200143228597421</v>
      </c>
      <c r="K21" s="84"/>
      <c r="L21" s="84"/>
      <c r="M21" s="84"/>
      <c r="N21" s="84"/>
      <c r="O21" s="84"/>
      <c r="P21" s="84"/>
      <c r="Q21" s="84"/>
    </row>
    <row r="22" spans="1:17" s="30" customFormat="1" ht="17.100000000000001" customHeight="1" x14ac:dyDescent="0.25">
      <c r="A22" s="159" t="s">
        <v>18</v>
      </c>
      <c r="B22" s="102">
        <v>0</v>
      </c>
      <c r="C22" s="103">
        <v>0</v>
      </c>
      <c r="D22" s="104">
        <v>0</v>
      </c>
      <c r="E22" s="103">
        <v>0</v>
      </c>
      <c r="F22" s="104">
        <v>0</v>
      </c>
      <c r="G22" s="105">
        <v>0</v>
      </c>
      <c r="H22" s="106">
        <f t="shared" si="2"/>
        <v>0</v>
      </c>
      <c r="I22" s="121">
        <f t="shared" si="1"/>
        <v>0</v>
      </c>
      <c r="K22" s="84"/>
      <c r="L22" s="84"/>
      <c r="M22" s="84"/>
      <c r="N22" s="84"/>
      <c r="O22" s="84"/>
      <c r="P22" s="84"/>
      <c r="Q22" s="84"/>
    </row>
    <row r="23" spans="1:17" s="30" customFormat="1" ht="17.100000000000001" customHeight="1" x14ac:dyDescent="0.25">
      <c r="A23" s="159" t="s">
        <v>19</v>
      </c>
      <c r="B23" s="102">
        <v>0</v>
      </c>
      <c r="C23" s="103">
        <v>0</v>
      </c>
      <c r="D23" s="104">
        <v>1</v>
      </c>
      <c r="E23" s="103">
        <v>0</v>
      </c>
      <c r="F23" s="104">
        <v>0</v>
      </c>
      <c r="G23" s="105">
        <v>0</v>
      </c>
      <c r="H23" s="106">
        <f t="shared" si="2"/>
        <v>1</v>
      </c>
      <c r="I23" s="122">
        <f t="shared" si="1"/>
        <v>4.1636220180659558E-2</v>
      </c>
      <c r="K23" s="84"/>
      <c r="L23" s="84"/>
      <c r="M23" s="84"/>
      <c r="N23" s="84"/>
      <c r="O23" s="84"/>
      <c r="P23" s="84"/>
      <c r="Q23" s="84"/>
    </row>
    <row r="24" spans="1:17" s="30" customFormat="1" ht="17.100000000000001" customHeight="1" x14ac:dyDescent="0.25">
      <c r="A24" s="161" t="s">
        <v>20</v>
      </c>
      <c r="B24" s="102">
        <v>3</v>
      </c>
      <c r="C24" s="103">
        <v>0</v>
      </c>
      <c r="D24" s="104">
        <v>4</v>
      </c>
      <c r="E24" s="103">
        <v>2</v>
      </c>
      <c r="F24" s="104">
        <v>0</v>
      </c>
      <c r="G24" s="105">
        <v>0</v>
      </c>
      <c r="H24" s="119">
        <f t="shared" si="2"/>
        <v>9</v>
      </c>
      <c r="I24" s="126">
        <f t="shared" si="1"/>
        <v>0.37472598162593601</v>
      </c>
      <c r="K24" s="84"/>
      <c r="L24" s="84"/>
      <c r="M24" s="84"/>
      <c r="N24" s="84"/>
      <c r="O24" s="84"/>
      <c r="P24" s="84"/>
      <c r="Q24" s="84"/>
    </row>
    <row r="25" spans="1:17" s="30" customFormat="1" ht="17.100000000000001" customHeight="1" x14ac:dyDescent="0.25">
      <c r="A25" s="162" t="s">
        <v>55</v>
      </c>
      <c r="B25" s="33">
        <f t="shared" ref="B25:G25" si="6">SUM(B26:B29)</f>
        <v>542</v>
      </c>
      <c r="C25" s="34">
        <f t="shared" si="6"/>
        <v>234</v>
      </c>
      <c r="D25" s="31">
        <f t="shared" si="6"/>
        <v>558</v>
      </c>
      <c r="E25" s="34">
        <f t="shared" si="6"/>
        <v>357</v>
      </c>
      <c r="F25" s="31">
        <f t="shared" si="6"/>
        <v>72</v>
      </c>
      <c r="G25" s="35">
        <f t="shared" si="6"/>
        <v>41</v>
      </c>
      <c r="H25" s="124">
        <f t="shared" si="2"/>
        <v>1804</v>
      </c>
      <c r="I25" s="125">
        <f t="shared" si="1"/>
        <v>75.111741205909851</v>
      </c>
      <c r="K25" s="84"/>
      <c r="L25" s="84"/>
      <c r="M25" s="84"/>
      <c r="N25" s="84"/>
      <c r="O25" s="84"/>
      <c r="P25" s="84"/>
      <c r="Q25" s="84"/>
    </row>
    <row r="26" spans="1:17" s="30" customFormat="1" ht="17.100000000000001" customHeight="1" x14ac:dyDescent="0.25">
      <c r="A26" s="159" t="s">
        <v>17</v>
      </c>
      <c r="B26" s="102">
        <v>540</v>
      </c>
      <c r="C26" s="103">
        <v>231</v>
      </c>
      <c r="D26" s="104">
        <v>556</v>
      </c>
      <c r="E26" s="103">
        <v>355</v>
      </c>
      <c r="F26" s="104">
        <v>72</v>
      </c>
      <c r="G26" s="105">
        <v>41</v>
      </c>
      <c r="H26" s="106">
        <f>SUM(B26:G26)</f>
        <v>1795</v>
      </c>
      <c r="I26" s="121">
        <f t="shared" si="1"/>
        <v>74.737015224283908</v>
      </c>
      <c r="K26" s="84"/>
      <c r="L26" s="84"/>
      <c r="M26" s="84"/>
      <c r="N26" s="84"/>
      <c r="O26" s="84"/>
      <c r="P26" s="84"/>
      <c r="Q26" s="84"/>
    </row>
    <row r="27" spans="1:17" s="30" customFormat="1" ht="17.100000000000001" customHeight="1" x14ac:dyDescent="0.25">
      <c r="A27" s="159" t="s">
        <v>18</v>
      </c>
      <c r="B27" s="102">
        <v>0</v>
      </c>
      <c r="C27" s="103">
        <v>0</v>
      </c>
      <c r="D27" s="104">
        <v>0</v>
      </c>
      <c r="E27" s="103">
        <v>0</v>
      </c>
      <c r="F27" s="104">
        <v>0</v>
      </c>
      <c r="G27" s="105">
        <v>0</v>
      </c>
      <c r="H27" s="106">
        <f>SUM(B27:G27)</f>
        <v>0</v>
      </c>
      <c r="I27" s="121">
        <f t="shared" si="1"/>
        <v>0</v>
      </c>
      <c r="K27" s="84"/>
      <c r="L27" s="84"/>
      <c r="M27" s="84"/>
      <c r="N27" s="84"/>
      <c r="O27" s="84"/>
      <c r="P27" s="84"/>
      <c r="Q27" s="84"/>
    </row>
    <row r="28" spans="1:17" s="30" customFormat="1" ht="17.100000000000001" customHeight="1" x14ac:dyDescent="0.25">
      <c r="A28" s="159" t="s">
        <v>19</v>
      </c>
      <c r="B28" s="102">
        <v>1</v>
      </c>
      <c r="C28" s="103">
        <v>3</v>
      </c>
      <c r="D28" s="104">
        <v>1</v>
      </c>
      <c r="E28" s="103">
        <v>2</v>
      </c>
      <c r="F28" s="104">
        <v>0</v>
      </c>
      <c r="G28" s="105">
        <v>0</v>
      </c>
      <c r="H28" s="106">
        <f>SUM(B28:G28)</f>
        <v>7</v>
      </c>
      <c r="I28" s="122">
        <f t="shared" si="1"/>
        <v>0.29145354126461692</v>
      </c>
      <c r="K28" s="84"/>
      <c r="L28" s="84"/>
      <c r="M28" s="84"/>
      <c r="N28" s="84"/>
      <c r="O28" s="84"/>
      <c r="P28" s="84"/>
      <c r="Q28" s="84"/>
    </row>
    <row r="29" spans="1:17" ht="17.100000000000001" customHeight="1" x14ac:dyDescent="0.25">
      <c r="A29" s="160" t="s">
        <v>20</v>
      </c>
      <c r="B29" s="127">
        <v>1</v>
      </c>
      <c r="C29" s="128">
        <v>0</v>
      </c>
      <c r="D29" s="129">
        <v>1</v>
      </c>
      <c r="E29" s="128">
        <v>0</v>
      </c>
      <c r="F29" s="129">
        <v>0</v>
      </c>
      <c r="G29" s="130">
        <v>0</v>
      </c>
      <c r="H29" s="131">
        <f t="shared" si="2"/>
        <v>2</v>
      </c>
      <c r="I29" s="132">
        <f t="shared" si="1"/>
        <v>8.3272440361319117E-2</v>
      </c>
      <c r="K29" s="84"/>
      <c r="L29" s="84"/>
      <c r="M29" s="84"/>
      <c r="N29" s="84"/>
      <c r="O29" s="84"/>
      <c r="P29" s="84"/>
      <c r="Q29" s="84"/>
    </row>
    <row r="30" spans="1:17" s="37" customFormat="1" ht="17.100000000000001" customHeight="1" x14ac:dyDescent="0.25">
      <c r="A30" s="32" t="s">
        <v>52</v>
      </c>
      <c r="B30" s="33">
        <f t="shared" ref="B30:G30" si="7">SUM(B31:B35)</f>
        <v>32</v>
      </c>
      <c r="C30" s="34">
        <f t="shared" si="7"/>
        <v>115</v>
      </c>
      <c r="D30" s="31">
        <f t="shared" si="7"/>
        <v>113</v>
      </c>
      <c r="E30" s="34">
        <f t="shared" si="7"/>
        <v>26</v>
      </c>
      <c r="F30" s="31">
        <f t="shared" si="7"/>
        <v>6</v>
      </c>
      <c r="G30" s="35">
        <f t="shared" si="7"/>
        <v>1</v>
      </c>
      <c r="H30" s="36">
        <f t="shared" si="2"/>
        <v>293</v>
      </c>
      <c r="I30" s="75">
        <f t="shared" si="1"/>
        <v>12.199412512933252</v>
      </c>
      <c r="K30" s="84"/>
      <c r="L30" s="84"/>
      <c r="M30" s="84"/>
      <c r="N30" s="84"/>
      <c r="O30" s="84"/>
      <c r="P30" s="84"/>
      <c r="Q30" s="84"/>
    </row>
    <row r="31" spans="1:17" s="30" customFormat="1" ht="17.100000000000001" customHeight="1" x14ac:dyDescent="0.25">
      <c r="A31" s="159" t="s">
        <v>17</v>
      </c>
      <c r="B31" s="102">
        <v>13</v>
      </c>
      <c r="C31" s="103">
        <v>36</v>
      </c>
      <c r="D31" s="104">
        <v>57</v>
      </c>
      <c r="E31" s="103">
        <v>5</v>
      </c>
      <c r="F31" s="104">
        <v>2</v>
      </c>
      <c r="G31" s="105">
        <v>0</v>
      </c>
      <c r="H31" s="106">
        <f t="shared" si="2"/>
        <v>113</v>
      </c>
      <c r="I31" s="121">
        <f t="shared" si="1"/>
        <v>4.7048928804145307</v>
      </c>
      <c r="K31" s="84"/>
      <c r="L31" s="84"/>
      <c r="M31" s="84"/>
      <c r="N31" s="84"/>
      <c r="O31" s="84"/>
      <c r="P31" s="84"/>
      <c r="Q31" s="84"/>
    </row>
    <row r="32" spans="1:17" s="30" customFormat="1" ht="17.100000000000001" customHeight="1" x14ac:dyDescent="0.25">
      <c r="A32" s="159" t="s">
        <v>18</v>
      </c>
      <c r="B32" s="102">
        <v>0</v>
      </c>
      <c r="C32" s="103">
        <v>0</v>
      </c>
      <c r="D32" s="104">
        <v>2</v>
      </c>
      <c r="E32" s="103">
        <v>1</v>
      </c>
      <c r="F32" s="104">
        <v>0</v>
      </c>
      <c r="G32" s="105">
        <v>0</v>
      </c>
      <c r="H32" s="106">
        <f t="shared" si="2"/>
        <v>3</v>
      </c>
      <c r="I32" s="122">
        <f t="shared" si="1"/>
        <v>0.12490866054197867</v>
      </c>
      <c r="K32" s="84"/>
      <c r="L32" s="84"/>
      <c r="M32" s="84"/>
      <c r="N32" s="84"/>
      <c r="O32" s="84"/>
      <c r="P32" s="84"/>
      <c r="Q32" s="84"/>
    </row>
    <row r="33" spans="1:17" s="30" customFormat="1" ht="17.100000000000001" customHeight="1" x14ac:dyDescent="0.25">
      <c r="A33" s="159" t="s">
        <v>19</v>
      </c>
      <c r="B33" s="102">
        <v>18</v>
      </c>
      <c r="C33" s="103">
        <v>65</v>
      </c>
      <c r="D33" s="104">
        <v>44</v>
      </c>
      <c r="E33" s="103">
        <v>18</v>
      </c>
      <c r="F33" s="104">
        <v>4</v>
      </c>
      <c r="G33" s="105">
        <v>1</v>
      </c>
      <c r="H33" s="106">
        <f t="shared" si="2"/>
        <v>150</v>
      </c>
      <c r="I33" s="121">
        <f t="shared" si="1"/>
        <v>6.2454330270989349</v>
      </c>
      <c r="K33" s="84"/>
      <c r="L33" s="84"/>
      <c r="M33" s="84"/>
      <c r="N33" s="84"/>
      <c r="O33" s="84"/>
      <c r="P33" s="84"/>
      <c r="Q33" s="84"/>
    </row>
    <row r="34" spans="1:17" ht="17.100000000000001" customHeight="1" x14ac:dyDescent="0.25">
      <c r="A34" s="159" t="s">
        <v>38</v>
      </c>
      <c r="B34" s="108">
        <v>0</v>
      </c>
      <c r="C34" s="109">
        <v>0</v>
      </c>
      <c r="D34" s="110">
        <v>0</v>
      </c>
      <c r="E34" s="109">
        <v>0</v>
      </c>
      <c r="F34" s="110">
        <v>0</v>
      </c>
      <c r="G34" s="111">
        <v>0</v>
      </c>
      <c r="H34" s="106">
        <f t="shared" si="2"/>
        <v>0</v>
      </c>
      <c r="I34" s="107">
        <f t="shared" si="1"/>
        <v>0</v>
      </c>
      <c r="K34" s="84"/>
      <c r="L34" s="84"/>
      <c r="M34" s="84"/>
      <c r="N34" s="84"/>
      <c r="O34" s="84"/>
      <c r="P34" s="84"/>
      <c r="Q34" s="84"/>
    </row>
    <row r="35" spans="1:17" s="30" customFormat="1" ht="17.100000000000001" customHeight="1" x14ac:dyDescent="0.25">
      <c r="A35" s="160" t="s">
        <v>20</v>
      </c>
      <c r="B35" s="102">
        <v>1</v>
      </c>
      <c r="C35" s="103">
        <v>14</v>
      </c>
      <c r="D35" s="104">
        <v>10</v>
      </c>
      <c r="E35" s="103">
        <v>2</v>
      </c>
      <c r="F35" s="104">
        <v>0</v>
      </c>
      <c r="G35" s="105">
        <v>0</v>
      </c>
      <c r="H35" s="106">
        <f t="shared" si="2"/>
        <v>27</v>
      </c>
      <c r="I35" s="121">
        <f t="shared" si="1"/>
        <v>1.1241779448778082</v>
      </c>
      <c r="K35" s="84"/>
      <c r="L35" s="84"/>
      <c r="M35" s="84"/>
      <c r="N35" s="84"/>
      <c r="O35" s="84"/>
      <c r="P35" s="84"/>
      <c r="Q35" s="84"/>
    </row>
    <row r="36" spans="1:17" s="37" customFormat="1" ht="17.100000000000001" customHeight="1" x14ac:dyDescent="0.25">
      <c r="A36" s="39" t="s">
        <v>12</v>
      </c>
      <c r="B36" s="40">
        <v>35</v>
      </c>
      <c r="C36" s="41">
        <v>72</v>
      </c>
      <c r="D36" s="42">
        <v>171</v>
      </c>
      <c r="E36" s="41">
        <v>137</v>
      </c>
      <c r="F36" s="42">
        <v>22</v>
      </c>
      <c r="G36" s="43">
        <v>3</v>
      </c>
      <c r="H36" s="44">
        <f t="shared" si="2"/>
        <v>440</v>
      </c>
      <c r="I36" s="76">
        <f t="shared" ref="I36:I67" si="8">H36/B$82 * 100000</f>
        <v>18.319936879490204</v>
      </c>
      <c r="K36" s="84"/>
      <c r="L36" s="84"/>
      <c r="M36" s="84"/>
      <c r="N36" s="84"/>
      <c r="O36" s="84"/>
      <c r="P36" s="84"/>
      <c r="Q36" s="84"/>
    </row>
    <row r="37" spans="1:17" s="37" customFormat="1" ht="17.100000000000001" customHeight="1" x14ac:dyDescent="0.25">
      <c r="A37" s="32" t="s">
        <v>54</v>
      </c>
      <c r="B37" s="33">
        <f>SUM(B38+B44+B45+B46)</f>
        <v>2509</v>
      </c>
      <c r="C37" s="34">
        <f t="shared" ref="C37:H37" si="9">SUM(C38+C44+C45+C46)</f>
        <v>3662</v>
      </c>
      <c r="D37" s="31">
        <f t="shared" si="9"/>
        <v>6383</v>
      </c>
      <c r="E37" s="34">
        <f t="shared" si="9"/>
        <v>3584</v>
      </c>
      <c r="F37" s="31">
        <f t="shared" si="9"/>
        <v>758</v>
      </c>
      <c r="G37" s="35">
        <f t="shared" si="9"/>
        <v>518</v>
      </c>
      <c r="H37" s="36">
        <f t="shared" si="9"/>
        <v>17414</v>
      </c>
      <c r="I37" s="75">
        <f t="shared" si="8"/>
        <v>725.05313822600556</v>
      </c>
      <c r="K37" s="84"/>
      <c r="L37" s="84"/>
      <c r="M37" s="84"/>
      <c r="N37" s="84"/>
      <c r="O37" s="84"/>
      <c r="P37" s="84"/>
      <c r="Q37" s="84"/>
    </row>
    <row r="38" spans="1:17" s="30" customFormat="1" ht="17.100000000000001" customHeight="1" x14ac:dyDescent="0.25">
      <c r="A38" s="159" t="s">
        <v>17</v>
      </c>
      <c r="B38" s="102">
        <f t="shared" ref="B38:G38" si="10">SUM(B39:B43)</f>
        <v>2503</v>
      </c>
      <c r="C38" s="103">
        <f t="shared" si="10"/>
        <v>3657</v>
      </c>
      <c r="D38" s="104">
        <f t="shared" si="10"/>
        <v>6367</v>
      </c>
      <c r="E38" s="103">
        <f t="shared" si="10"/>
        <v>3576</v>
      </c>
      <c r="F38" s="104">
        <f t="shared" si="10"/>
        <v>755</v>
      </c>
      <c r="G38" s="105">
        <f t="shared" si="10"/>
        <v>518</v>
      </c>
      <c r="H38" s="106">
        <f t="shared" si="2"/>
        <v>17376</v>
      </c>
      <c r="I38" s="121">
        <f t="shared" si="8"/>
        <v>723.47096185914052</v>
      </c>
      <c r="K38" s="84"/>
      <c r="L38" s="84"/>
      <c r="M38" s="84"/>
      <c r="N38" s="84"/>
      <c r="O38" s="84"/>
      <c r="P38" s="84"/>
      <c r="Q38" s="84"/>
    </row>
    <row r="39" spans="1:17" s="30" customFormat="1" ht="17.100000000000001" customHeight="1" x14ac:dyDescent="0.25">
      <c r="A39" s="159" t="s">
        <v>24</v>
      </c>
      <c r="B39" s="102">
        <v>1886</v>
      </c>
      <c r="C39" s="103">
        <v>2898</v>
      </c>
      <c r="D39" s="104">
        <v>4950</v>
      </c>
      <c r="E39" s="103">
        <v>2841</v>
      </c>
      <c r="F39" s="104">
        <v>597</v>
      </c>
      <c r="G39" s="105">
        <v>388</v>
      </c>
      <c r="H39" s="106">
        <f t="shared" si="2"/>
        <v>13560</v>
      </c>
      <c r="I39" s="121">
        <f t="shared" si="8"/>
        <v>564.58714564974366</v>
      </c>
      <c r="K39" s="84"/>
      <c r="L39" s="84"/>
      <c r="M39" s="84"/>
      <c r="N39" s="84"/>
      <c r="O39" s="84"/>
      <c r="P39" s="84"/>
      <c r="Q39" s="84"/>
    </row>
    <row r="40" spans="1:17" s="30" customFormat="1" ht="17.100000000000001" customHeight="1" x14ac:dyDescent="0.25">
      <c r="A40" s="159" t="s">
        <v>25</v>
      </c>
      <c r="B40" s="102">
        <v>124</v>
      </c>
      <c r="C40" s="103">
        <v>210</v>
      </c>
      <c r="D40" s="104">
        <v>308</v>
      </c>
      <c r="E40" s="103">
        <v>78</v>
      </c>
      <c r="F40" s="104">
        <v>9</v>
      </c>
      <c r="G40" s="105">
        <v>2</v>
      </c>
      <c r="H40" s="106">
        <f t="shared" si="2"/>
        <v>731</v>
      </c>
      <c r="I40" s="121">
        <f t="shared" si="8"/>
        <v>30.436076952062137</v>
      </c>
      <c r="K40" s="84"/>
      <c r="L40" s="84"/>
      <c r="M40" s="84"/>
      <c r="N40" s="84"/>
      <c r="O40" s="84"/>
      <c r="P40" s="84"/>
      <c r="Q40" s="84"/>
    </row>
    <row r="41" spans="1:17" s="30" customFormat="1" ht="17.100000000000001" customHeight="1" x14ac:dyDescent="0.25">
      <c r="A41" s="159" t="s">
        <v>26</v>
      </c>
      <c r="B41" s="102">
        <v>63</v>
      </c>
      <c r="C41" s="103">
        <v>32</v>
      </c>
      <c r="D41" s="104">
        <v>97</v>
      </c>
      <c r="E41" s="103">
        <v>62</v>
      </c>
      <c r="F41" s="104">
        <v>8</v>
      </c>
      <c r="G41" s="105">
        <v>8</v>
      </c>
      <c r="H41" s="106">
        <f t="shared" si="2"/>
        <v>270</v>
      </c>
      <c r="I41" s="121">
        <f t="shared" si="8"/>
        <v>11.241779448778081</v>
      </c>
      <c r="K41" s="84"/>
      <c r="L41" s="84"/>
      <c r="M41" s="84"/>
      <c r="N41" s="84"/>
      <c r="O41" s="84"/>
      <c r="P41" s="84"/>
      <c r="Q41" s="84"/>
    </row>
    <row r="42" spans="1:17" s="30" customFormat="1" ht="17.100000000000001" customHeight="1" x14ac:dyDescent="0.25">
      <c r="A42" s="159" t="s">
        <v>27</v>
      </c>
      <c r="B42" s="102">
        <v>234</v>
      </c>
      <c r="C42" s="103">
        <v>127</v>
      </c>
      <c r="D42" s="104">
        <v>262</v>
      </c>
      <c r="E42" s="103">
        <v>193</v>
      </c>
      <c r="F42" s="104">
        <v>58</v>
      </c>
      <c r="G42" s="105">
        <v>59</v>
      </c>
      <c r="H42" s="106">
        <f t="shared" si="2"/>
        <v>933</v>
      </c>
      <c r="I42" s="121">
        <f t="shared" si="8"/>
        <v>38.846593428555373</v>
      </c>
      <c r="K42" s="84"/>
      <c r="L42" s="84"/>
      <c r="M42" s="84"/>
      <c r="N42" s="84"/>
      <c r="O42" s="84"/>
      <c r="P42" s="84"/>
      <c r="Q42" s="84"/>
    </row>
    <row r="43" spans="1:17" s="30" customFormat="1" ht="17.100000000000001" customHeight="1" x14ac:dyDescent="0.25">
      <c r="A43" s="159" t="s">
        <v>28</v>
      </c>
      <c r="B43" s="102">
        <v>196</v>
      </c>
      <c r="C43" s="103">
        <v>390</v>
      </c>
      <c r="D43" s="104">
        <v>750</v>
      </c>
      <c r="E43" s="103">
        <v>402</v>
      </c>
      <c r="F43" s="104">
        <v>83</v>
      </c>
      <c r="G43" s="105">
        <v>61</v>
      </c>
      <c r="H43" s="106">
        <f t="shared" si="2"/>
        <v>1882</v>
      </c>
      <c r="I43" s="121">
        <f t="shared" si="8"/>
        <v>78.359366380001291</v>
      </c>
      <c r="K43" s="84"/>
      <c r="L43" s="84"/>
      <c r="M43" s="84"/>
      <c r="N43" s="84"/>
      <c r="O43" s="84"/>
      <c r="P43" s="84"/>
      <c r="Q43" s="84"/>
    </row>
    <row r="44" spans="1:17" s="30" customFormat="1" ht="17.100000000000001" customHeight="1" x14ac:dyDescent="0.25">
      <c r="A44" s="159" t="s">
        <v>18</v>
      </c>
      <c r="B44" s="102">
        <v>0</v>
      </c>
      <c r="C44" s="103">
        <v>0</v>
      </c>
      <c r="D44" s="104">
        <v>0</v>
      </c>
      <c r="E44" s="103">
        <v>0</v>
      </c>
      <c r="F44" s="104">
        <v>0</v>
      </c>
      <c r="G44" s="105">
        <v>0</v>
      </c>
      <c r="H44" s="106">
        <f t="shared" si="2"/>
        <v>0</v>
      </c>
      <c r="I44" s="121">
        <f t="shared" si="8"/>
        <v>0</v>
      </c>
      <c r="K44" s="84"/>
      <c r="L44" s="84"/>
      <c r="M44" s="84"/>
      <c r="N44" s="84"/>
      <c r="O44" s="84"/>
      <c r="P44" s="84"/>
      <c r="Q44" s="84"/>
    </row>
    <row r="45" spans="1:17" s="30" customFormat="1" ht="17.100000000000001" customHeight="1" x14ac:dyDescent="0.25">
      <c r="A45" s="159" t="s">
        <v>19</v>
      </c>
      <c r="B45" s="133">
        <v>2</v>
      </c>
      <c r="C45" s="134">
        <v>1</v>
      </c>
      <c r="D45" s="135">
        <v>2</v>
      </c>
      <c r="E45" s="134">
        <v>0</v>
      </c>
      <c r="F45" s="135">
        <v>0</v>
      </c>
      <c r="G45" s="136">
        <v>0</v>
      </c>
      <c r="H45" s="106">
        <f>SUM(B45:G45)</f>
        <v>5</v>
      </c>
      <c r="I45" s="122">
        <f t="shared" si="8"/>
        <v>0.20818110090329781</v>
      </c>
      <c r="K45" s="84"/>
      <c r="L45" s="84"/>
      <c r="M45" s="84"/>
      <c r="N45" s="84"/>
      <c r="O45" s="84"/>
      <c r="P45" s="84"/>
      <c r="Q45" s="84"/>
    </row>
    <row r="46" spans="1:17" ht="17.100000000000001" customHeight="1" x14ac:dyDescent="0.25">
      <c r="A46" s="163" t="s">
        <v>21</v>
      </c>
      <c r="B46" s="137">
        <v>4</v>
      </c>
      <c r="C46" s="138">
        <v>4</v>
      </c>
      <c r="D46" s="139">
        <v>14</v>
      </c>
      <c r="E46" s="138">
        <v>8</v>
      </c>
      <c r="F46" s="139">
        <v>3</v>
      </c>
      <c r="G46" s="140">
        <v>0</v>
      </c>
      <c r="H46" s="141">
        <f>SUM(B46:G46)</f>
        <v>33</v>
      </c>
      <c r="I46" s="142">
        <f t="shared" si="8"/>
        <v>1.3739952659617654</v>
      </c>
      <c r="K46" s="84"/>
      <c r="L46" s="84"/>
      <c r="M46" s="84"/>
      <c r="N46" s="84"/>
      <c r="O46" s="84"/>
      <c r="P46" s="84"/>
      <c r="Q46" s="84"/>
    </row>
    <row r="47" spans="1:17" s="37" customFormat="1" ht="17.100000000000001" customHeight="1" x14ac:dyDescent="0.25">
      <c r="A47" s="39" t="s">
        <v>32</v>
      </c>
      <c r="B47" s="40">
        <v>1015</v>
      </c>
      <c r="C47" s="41">
        <v>112</v>
      </c>
      <c r="D47" s="42">
        <v>314</v>
      </c>
      <c r="E47" s="41">
        <v>182</v>
      </c>
      <c r="F47" s="42">
        <v>28</v>
      </c>
      <c r="G47" s="43">
        <v>10</v>
      </c>
      <c r="H47" s="44">
        <f t="shared" si="2"/>
        <v>1661</v>
      </c>
      <c r="I47" s="76">
        <f t="shared" si="8"/>
        <v>69.157761720075527</v>
      </c>
      <c r="K47" s="84"/>
      <c r="L47" s="84"/>
      <c r="M47" s="84"/>
      <c r="N47" s="84"/>
      <c r="O47" s="84"/>
      <c r="P47" s="84"/>
      <c r="Q47" s="84"/>
    </row>
    <row r="48" spans="1:17" s="37" customFormat="1" ht="17.100000000000001" customHeight="1" x14ac:dyDescent="0.25">
      <c r="A48" s="39" t="s">
        <v>33</v>
      </c>
      <c r="B48" s="40">
        <v>22</v>
      </c>
      <c r="C48" s="41">
        <v>5</v>
      </c>
      <c r="D48" s="42">
        <v>18</v>
      </c>
      <c r="E48" s="41">
        <v>9</v>
      </c>
      <c r="F48" s="42">
        <v>3</v>
      </c>
      <c r="G48" s="43">
        <v>4</v>
      </c>
      <c r="H48" s="44">
        <f t="shared" si="2"/>
        <v>61</v>
      </c>
      <c r="I48" s="76">
        <f t="shared" si="8"/>
        <v>2.5398094310202333</v>
      </c>
      <c r="K48" s="84"/>
      <c r="L48" s="84"/>
      <c r="M48" s="84"/>
      <c r="N48" s="84"/>
      <c r="O48" s="84"/>
      <c r="P48" s="84"/>
      <c r="Q48" s="84"/>
    </row>
    <row r="49" spans="1:17" s="37" customFormat="1" ht="17.100000000000001" customHeight="1" x14ac:dyDescent="0.25">
      <c r="A49" s="32" t="s">
        <v>47</v>
      </c>
      <c r="B49" s="33">
        <f t="shared" ref="B49:G49" si="11">SUM(B50:B53)</f>
        <v>285</v>
      </c>
      <c r="C49" s="34">
        <f t="shared" si="11"/>
        <v>118</v>
      </c>
      <c r="D49" s="31">
        <f t="shared" si="11"/>
        <v>229</v>
      </c>
      <c r="E49" s="34">
        <f t="shared" si="11"/>
        <v>87</v>
      </c>
      <c r="F49" s="31">
        <f t="shared" si="11"/>
        <v>11</v>
      </c>
      <c r="G49" s="35">
        <f t="shared" si="11"/>
        <v>13</v>
      </c>
      <c r="H49" s="36">
        <f t="shared" si="2"/>
        <v>743</v>
      </c>
      <c r="I49" s="75">
        <f t="shared" si="8"/>
        <v>30.935711594230053</v>
      </c>
      <c r="K49" s="84"/>
      <c r="L49" s="84"/>
      <c r="M49" s="84"/>
      <c r="N49" s="84"/>
      <c r="O49" s="84"/>
      <c r="P49" s="84"/>
      <c r="Q49" s="84"/>
    </row>
    <row r="50" spans="1:17" s="30" customFormat="1" ht="17.100000000000001" customHeight="1" x14ac:dyDescent="0.25">
      <c r="A50" s="159" t="s">
        <v>17</v>
      </c>
      <c r="B50" s="102">
        <v>285</v>
      </c>
      <c r="C50" s="103">
        <v>118</v>
      </c>
      <c r="D50" s="104">
        <v>229</v>
      </c>
      <c r="E50" s="103">
        <v>87</v>
      </c>
      <c r="F50" s="104">
        <v>11</v>
      </c>
      <c r="G50" s="105">
        <v>13</v>
      </c>
      <c r="H50" s="106">
        <f t="shared" si="2"/>
        <v>743</v>
      </c>
      <c r="I50" s="121">
        <f t="shared" si="8"/>
        <v>30.935711594230053</v>
      </c>
      <c r="K50" s="84"/>
      <c r="L50" s="84"/>
      <c r="M50" s="84"/>
      <c r="N50" s="84"/>
      <c r="O50" s="84"/>
      <c r="P50" s="84"/>
      <c r="Q50" s="84"/>
    </row>
    <row r="51" spans="1:17" ht="17.100000000000001" customHeight="1" x14ac:dyDescent="0.25">
      <c r="A51" s="160" t="s">
        <v>18</v>
      </c>
      <c r="B51" s="108">
        <v>0</v>
      </c>
      <c r="C51" s="109">
        <v>0</v>
      </c>
      <c r="D51" s="110">
        <v>0</v>
      </c>
      <c r="E51" s="109">
        <v>0</v>
      </c>
      <c r="F51" s="110">
        <v>0</v>
      </c>
      <c r="G51" s="111">
        <v>0</v>
      </c>
      <c r="H51" s="112">
        <f t="shared" si="2"/>
        <v>0</v>
      </c>
      <c r="I51" s="143">
        <f t="shared" si="8"/>
        <v>0</v>
      </c>
      <c r="K51" s="84"/>
      <c r="L51" s="84"/>
      <c r="M51" s="84"/>
      <c r="N51" s="84"/>
      <c r="O51" s="84"/>
      <c r="P51" s="84"/>
      <c r="Q51" s="84"/>
    </row>
    <row r="52" spans="1:17" ht="17.100000000000001" customHeight="1" x14ac:dyDescent="0.25">
      <c r="A52" s="159" t="s">
        <v>19</v>
      </c>
      <c r="B52" s="108">
        <v>0</v>
      </c>
      <c r="C52" s="109">
        <v>0</v>
      </c>
      <c r="D52" s="110">
        <v>0</v>
      </c>
      <c r="E52" s="109">
        <v>0</v>
      </c>
      <c r="F52" s="110">
        <v>0</v>
      </c>
      <c r="G52" s="111">
        <v>0</v>
      </c>
      <c r="H52" s="112">
        <f t="shared" si="2"/>
        <v>0</v>
      </c>
      <c r="I52" s="143">
        <f t="shared" si="8"/>
        <v>0</v>
      </c>
      <c r="K52" s="84"/>
      <c r="L52" s="84"/>
      <c r="M52" s="84"/>
      <c r="N52" s="84"/>
      <c r="O52" s="84"/>
      <c r="P52" s="84"/>
      <c r="Q52" s="84"/>
    </row>
    <row r="53" spans="1:17" ht="17.100000000000001" customHeight="1" x14ac:dyDescent="0.25">
      <c r="A53" s="164" t="s">
        <v>20</v>
      </c>
      <c r="B53" s="144">
        <v>0</v>
      </c>
      <c r="C53" s="116">
        <v>0</v>
      </c>
      <c r="D53" s="116">
        <v>0</v>
      </c>
      <c r="E53" s="116">
        <v>0</v>
      </c>
      <c r="F53" s="116">
        <v>0</v>
      </c>
      <c r="G53" s="118">
        <v>0</v>
      </c>
      <c r="H53" s="119">
        <f t="shared" si="2"/>
        <v>0</v>
      </c>
      <c r="I53" s="123">
        <f t="shared" si="8"/>
        <v>0</v>
      </c>
      <c r="K53" s="84"/>
      <c r="L53" s="84"/>
      <c r="M53" s="84"/>
      <c r="N53" s="84"/>
      <c r="O53" s="84"/>
      <c r="P53" s="84"/>
      <c r="Q53" s="84"/>
    </row>
    <row r="54" spans="1:17" s="37" customFormat="1" ht="17.100000000000001" customHeight="1" x14ac:dyDescent="0.25">
      <c r="A54" s="45" t="s">
        <v>46</v>
      </c>
      <c r="B54" s="46">
        <f t="shared" ref="B54:G54" si="12">SUM(B55:B57)</f>
        <v>2927</v>
      </c>
      <c r="C54" s="47">
        <f t="shared" si="12"/>
        <v>535</v>
      </c>
      <c r="D54" s="48">
        <f t="shared" si="12"/>
        <v>1242</v>
      </c>
      <c r="E54" s="47">
        <f t="shared" si="12"/>
        <v>928</v>
      </c>
      <c r="F54" s="48">
        <f t="shared" si="12"/>
        <v>213</v>
      </c>
      <c r="G54" s="49">
        <f t="shared" si="12"/>
        <v>199</v>
      </c>
      <c r="H54" s="50">
        <f>SUM(B54:G54)</f>
        <v>6044</v>
      </c>
      <c r="I54" s="61">
        <f t="shared" si="8"/>
        <v>251.64931477190638</v>
      </c>
      <c r="K54" s="84"/>
      <c r="L54" s="84"/>
      <c r="M54" s="84"/>
      <c r="N54" s="84"/>
      <c r="O54" s="84"/>
      <c r="P54" s="84"/>
      <c r="Q54" s="84"/>
    </row>
    <row r="55" spans="1:17" s="37" customFormat="1" ht="17.100000000000001" customHeight="1" x14ac:dyDescent="0.25">
      <c r="A55" s="159" t="s">
        <v>30</v>
      </c>
      <c r="B55" s="78">
        <v>2865</v>
      </c>
      <c r="C55" s="79">
        <v>500</v>
      </c>
      <c r="D55" s="80">
        <v>1173</v>
      </c>
      <c r="E55" s="79">
        <v>880</v>
      </c>
      <c r="F55" s="80">
        <v>202</v>
      </c>
      <c r="G55" s="81">
        <v>188</v>
      </c>
      <c r="H55" s="82">
        <f>SUM(B55:G55)</f>
        <v>5808</v>
      </c>
      <c r="I55" s="83">
        <f t="shared" si="8"/>
        <v>241.82316680927073</v>
      </c>
      <c r="K55" s="84"/>
      <c r="L55" s="84"/>
      <c r="M55" s="84"/>
      <c r="N55" s="84"/>
      <c r="O55" s="84"/>
      <c r="P55" s="84"/>
      <c r="Q55" s="84"/>
    </row>
    <row r="56" spans="1:17" s="30" customFormat="1" ht="17.100000000000001" customHeight="1" x14ac:dyDescent="0.25">
      <c r="A56" s="159" t="s">
        <v>31</v>
      </c>
      <c r="B56" s="102">
        <v>61</v>
      </c>
      <c r="C56" s="103">
        <v>35</v>
      </c>
      <c r="D56" s="104">
        <v>69</v>
      </c>
      <c r="E56" s="103">
        <v>48</v>
      </c>
      <c r="F56" s="104">
        <v>11</v>
      </c>
      <c r="G56" s="105">
        <v>11</v>
      </c>
      <c r="H56" s="106">
        <f>SUM(B56:G56)</f>
        <v>235</v>
      </c>
      <c r="I56" s="121">
        <f t="shared" si="8"/>
        <v>9.7845117424549972</v>
      </c>
      <c r="K56" s="84"/>
      <c r="L56" s="84"/>
      <c r="M56" s="84"/>
      <c r="N56" s="84"/>
      <c r="O56" s="84"/>
      <c r="P56" s="84"/>
      <c r="Q56" s="84"/>
    </row>
    <row r="57" spans="1:17" s="30" customFormat="1" ht="17.100000000000001" customHeight="1" x14ac:dyDescent="0.25">
      <c r="A57" s="159" t="s">
        <v>29</v>
      </c>
      <c r="B57" s="102">
        <v>1</v>
      </c>
      <c r="C57" s="103">
        <v>0</v>
      </c>
      <c r="D57" s="104">
        <v>0</v>
      </c>
      <c r="E57" s="103">
        <v>0</v>
      </c>
      <c r="F57" s="104">
        <v>0</v>
      </c>
      <c r="G57" s="105">
        <v>0</v>
      </c>
      <c r="H57" s="106">
        <f>SUM(B57:G57)</f>
        <v>1</v>
      </c>
      <c r="I57" s="122">
        <f t="shared" si="8"/>
        <v>4.1636220180659558E-2</v>
      </c>
      <c r="K57" s="84"/>
      <c r="L57" s="84"/>
      <c r="M57" s="84"/>
      <c r="N57" s="84"/>
      <c r="O57" s="84"/>
      <c r="P57" s="84"/>
      <c r="Q57" s="84"/>
    </row>
    <row r="58" spans="1:17" s="37" customFormat="1" ht="17.100000000000001" customHeight="1" x14ac:dyDescent="0.25">
      <c r="A58" s="39" t="s">
        <v>11</v>
      </c>
      <c r="B58" s="40">
        <v>3549</v>
      </c>
      <c r="C58" s="41">
        <v>1584</v>
      </c>
      <c r="D58" s="42">
        <v>4364</v>
      </c>
      <c r="E58" s="41">
        <v>2284</v>
      </c>
      <c r="F58" s="42">
        <v>413</v>
      </c>
      <c r="G58" s="43">
        <v>281</v>
      </c>
      <c r="H58" s="44">
        <f>SUM(B58:G58)</f>
        <v>12475</v>
      </c>
      <c r="I58" s="76">
        <f t="shared" si="8"/>
        <v>519.41184675372801</v>
      </c>
      <c r="K58" s="84"/>
      <c r="L58" s="84"/>
      <c r="M58" s="84"/>
      <c r="N58" s="84"/>
      <c r="O58" s="84"/>
      <c r="P58" s="84"/>
      <c r="Q58" s="84"/>
    </row>
    <row r="59" spans="1:17" s="37" customFormat="1" ht="17.100000000000001" customHeight="1" x14ac:dyDescent="0.25">
      <c r="A59" s="32" t="s">
        <v>45</v>
      </c>
      <c r="B59" s="33">
        <f t="shared" ref="B59:G59" si="13">SUM(B60+B65)</f>
        <v>775</v>
      </c>
      <c r="C59" s="47">
        <f t="shared" si="13"/>
        <v>249</v>
      </c>
      <c r="D59" s="31">
        <f t="shared" si="13"/>
        <v>519</v>
      </c>
      <c r="E59" s="34">
        <f t="shared" si="13"/>
        <v>269</v>
      </c>
      <c r="F59" s="31">
        <f t="shared" si="13"/>
        <v>59</v>
      </c>
      <c r="G59" s="35">
        <f t="shared" si="13"/>
        <v>53</v>
      </c>
      <c r="H59" s="36">
        <f t="shared" si="2"/>
        <v>1924</v>
      </c>
      <c r="I59" s="75">
        <f t="shared" si="8"/>
        <v>80.108087627588986</v>
      </c>
      <c r="K59" s="84"/>
      <c r="L59" s="84"/>
      <c r="M59" s="84"/>
      <c r="N59" s="84"/>
      <c r="O59" s="84"/>
      <c r="P59" s="84"/>
      <c r="Q59" s="84"/>
    </row>
    <row r="60" spans="1:17" s="30" customFormat="1" ht="17.100000000000001" customHeight="1" x14ac:dyDescent="0.25">
      <c r="A60" s="51" t="s">
        <v>44</v>
      </c>
      <c r="B60" s="52">
        <f t="shared" ref="B60:G60" si="14">SUM(B61:B64)</f>
        <v>531</v>
      </c>
      <c r="C60" s="53">
        <f t="shared" si="14"/>
        <v>208</v>
      </c>
      <c r="D60" s="54">
        <f t="shared" si="14"/>
        <v>357</v>
      </c>
      <c r="E60" s="53">
        <f t="shared" si="14"/>
        <v>168</v>
      </c>
      <c r="F60" s="54">
        <f t="shared" si="14"/>
        <v>41</v>
      </c>
      <c r="G60" s="55">
        <f t="shared" si="14"/>
        <v>42</v>
      </c>
      <c r="H60" s="56">
        <f t="shared" si="2"/>
        <v>1347</v>
      </c>
      <c r="I60" s="77">
        <f t="shared" si="8"/>
        <v>56.083988583348429</v>
      </c>
      <c r="K60" s="84"/>
      <c r="L60" s="84"/>
      <c r="M60" s="84"/>
      <c r="N60" s="84"/>
      <c r="O60" s="84"/>
      <c r="P60" s="84"/>
      <c r="Q60" s="84"/>
    </row>
    <row r="61" spans="1:17" s="30" customFormat="1" ht="17.100000000000001" customHeight="1" x14ac:dyDescent="0.25">
      <c r="A61" s="159" t="s">
        <v>1</v>
      </c>
      <c r="B61" s="145">
        <v>362</v>
      </c>
      <c r="C61" s="146">
        <v>51</v>
      </c>
      <c r="D61" s="147">
        <v>90</v>
      </c>
      <c r="E61" s="148">
        <v>81</v>
      </c>
      <c r="F61" s="147">
        <v>29</v>
      </c>
      <c r="G61" s="149">
        <v>30</v>
      </c>
      <c r="H61" s="106">
        <f t="shared" si="2"/>
        <v>643</v>
      </c>
      <c r="I61" s="121">
        <f t="shared" si="8"/>
        <v>26.772089576164095</v>
      </c>
      <c r="K61" s="88"/>
      <c r="L61" s="88"/>
      <c r="M61" s="88"/>
      <c r="N61" s="88"/>
      <c r="O61" s="88"/>
      <c r="P61" s="88"/>
      <c r="Q61" s="88"/>
    </row>
    <row r="62" spans="1:17" s="30" customFormat="1" ht="17.100000000000001" customHeight="1" x14ac:dyDescent="0.25">
      <c r="A62" s="159" t="s">
        <v>22</v>
      </c>
      <c r="B62" s="102">
        <v>106</v>
      </c>
      <c r="C62" s="103">
        <v>114</v>
      </c>
      <c r="D62" s="104">
        <v>187</v>
      </c>
      <c r="E62" s="103">
        <v>69</v>
      </c>
      <c r="F62" s="104">
        <v>5</v>
      </c>
      <c r="G62" s="105">
        <v>4</v>
      </c>
      <c r="H62" s="106">
        <f t="shared" si="2"/>
        <v>485</v>
      </c>
      <c r="I62" s="121">
        <f t="shared" si="8"/>
        <v>20.193566787619886</v>
      </c>
      <c r="K62" s="88"/>
      <c r="L62" s="88"/>
      <c r="M62" s="88"/>
      <c r="N62" s="88"/>
      <c r="O62" s="88"/>
      <c r="P62" s="88"/>
      <c r="Q62" s="88"/>
    </row>
    <row r="63" spans="1:17" s="30" customFormat="1" ht="17.100000000000001" customHeight="1" x14ac:dyDescent="0.25">
      <c r="A63" s="159" t="s">
        <v>23</v>
      </c>
      <c r="B63" s="102">
        <v>1</v>
      </c>
      <c r="C63" s="103">
        <v>1</v>
      </c>
      <c r="D63" s="104">
        <v>2</v>
      </c>
      <c r="E63" s="103">
        <v>0</v>
      </c>
      <c r="F63" s="104">
        <v>0</v>
      </c>
      <c r="G63" s="105">
        <v>0</v>
      </c>
      <c r="H63" s="106">
        <f>SUM(B63:G63)</f>
        <v>4</v>
      </c>
      <c r="I63" s="122">
        <f t="shared" si="8"/>
        <v>0.16654488072263823</v>
      </c>
      <c r="K63" s="88"/>
      <c r="L63" s="88"/>
      <c r="M63" s="88"/>
      <c r="N63" s="88"/>
      <c r="O63" s="88"/>
      <c r="P63" s="88"/>
      <c r="Q63" s="88"/>
    </row>
    <row r="64" spans="1:17" s="30" customFormat="1" ht="17.100000000000001" customHeight="1" x14ac:dyDescent="0.25">
      <c r="A64" s="165" t="s">
        <v>2</v>
      </c>
      <c r="B64" s="145">
        <v>62</v>
      </c>
      <c r="C64" s="148">
        <v>42</v>
      </c>
      <c r="D64" s="147">
        <v>78</v>
      </c>
      <c r="E64" s="148">
        <v>18</v>
      </c>
      <c r="F64" s="147">
        <v>7</v>
      </c>
      <c r="G64" s="149">
        <v>8</v>
      </c>
      <c r="H64" s="106">
        <f t="shared" si="2"/>
        <v>215</v>
      </c>
      <c r="I64" s="121">
        <f t="shared" si="8"/>
        <v>8.9517873388418057</v>
      </c>
      <c r="K64" s="88"/>
      <c r="L64" s="88"/>
      <c r="M64" s="88"/>
      <c r="N64" s="88"/>
      <c r="O64" s="88"/>
      <c r="P64" s="88"/>
      <c r="Q64" s="88"/>
    </row>
    <row r="65" spans="1:17" s="30" customFormat="1" ht="17.100000000000001" customHeight="1" x14ac:dyDescent="0.25">
      <c r="A65" s="51" t="s">
        <v>43</v>
      </c>
      <c r="B65" s="52">
        <f t="shared" ref="B65:G65" si="15">SUM(B66:B70)</f>
        <v>244</v>
      </c>
      <c r="C65" s="53">
        <f t="shared" si="15"/>
        <v>41</v>
      </c>
      <c r="D65" s="54">
        <f t="shared" si="15"/>
        <v>162</v>
      </c>
      <c r="E65" s="53">
        <f t="shared" si="15"/>
        <v>101</v>
      </c>
      <c r="F65" s="54">
        <f t="shared" si="15"/>
        <v>18</v>
      </c>
      <c r="G65" s="55">
        <f t="shared" si="15"/>
        <v>11</v>
      </c>
      <c r="H65" s="56">
        <f t="shared" si="2"/>
        <v>577</v>
      </c>
      <c r="I65" s="77">
        <f t="shared" si="8"/>
        <v>24.024099044240565</v>
      </c>
      <c r="K65" s="88"/>
      <c r="L65" s="88"/>
      <c r="M65" s="88"/>
      <c r="N65" s="88"/>
      <c r="O65" s="88"/>
      <c r="P65" s="88"/>
      <c r="Q65" s="88"/>
    </row>
    <row r="66" spans="1:17" s="30" customFormat="1" ht="17.100000000000001" customHeight="1" x14ac:dyDescent="0.25">
      <c r="A66" s="159" t="s">
        <v>1</v>
      </c>
      <c r="B66" s="145">
        <v>217</v>
      </c>
      <c r="C66" s="148">
        <v>32</v>
      </c>
      <c r="D66" s="147">
        <v>93</v>
      </c>
      <c r="E66" s="148">
        <v>70</v>
      </c>
      <c r="F66" s="147">
        <v>14</v>
      </c>
      <c r="G66" s="149">
        <v>9</v>
      </c>
      <c r="H66" s="106">
        <f t="shared" si="2"/>
        <v>435</v>
      </c>
      <c r="I66" s="121">
        <f t="shared" si="8"/>
        <v>18.111755778586911</v>
      </c>
      <c r="K66" s="89"/>
      <c r="L66" s="89"/>
      <c r="M66" s="89"/>
      <c r="N66" s="89"/>
      <c r="O66" s="89"/>
      <c r="P66" s="89"/>
      <c r="Q66" s="89"/>
    </row>
    <row r="67" spans="1:17" s="30" customFormat="1" ht="17.100000000000001" customHeight="1" x14ac:dyDescent="0.25">
      <c r="A67" s="159" t="s">
        <v>22</v>
      </c>
      <c r="B67" s="102">
        <v>5</v>
      </c>
      <c r="C67" s="103">
        <v>5</v>
      </c>
      <c r="D67" s="104">
        <v>17</v>
      </c>
      <c r="E67" s="103">
        <v>4</v>
      </c>
      <c r="F67" s="104">
        <v>2</v>
      </c>
      <c r="G67" s="105">
        <v>0</v>
      </c>
      <c r="H67" s="131">
        <f t="shared" si="2"/>
        <v>33</v>
      </c>
      <c r="I67" s="150">
        <f t="shared" si="8"/>
        <v>1.3739952659617654</v>
      </c>
      <c r="K67" s="89"/>
      <c r="L67" s="89"/>
      <c r="M67" s="89"/>
      <c r="N67" s="89"/>
      <c r="O67" s="89"/>
      <c r="P67" s="89"/>
      <c r="Q67" s="89"/>
    </row>
    <row r="68" spans="1:17" s="30" customFormat="1" ht="17.100000000000001" customHeight="1" x14ac:dyDescent="0.25">
      <c r="A68" s="159" t="s">
        <v>23</v>
      </c>
      <c r="B68" s="102">
        <v>0</v>
      </c>
      <c r="C68" s="103">
        <v>0</v>
      </c>
      <c r="D68" s="104">
        <v>1</v>
      </c>
      <c r="E68" s="103">
        <v>0</v>
      </c>
      <c r="F68" s="104">
        <v>0</v>
      </c>
      <c r="G68" s="105">
        <v>0</v>
      </c>
      <c r="H68" s="131">
        <f>SUM(B68:G68)</f>
        <v>1</v>
      </c>
      <c r="I68" s="132">
        <f t="shared" ref="I68:I81" si="16">H68/B$82 * 100000</f>
        <v>4.1636220180659558E-2</v>
      </c>
      <c r="K68" s="89"/>
      <c r="L68" s="89"/>
      <c r="M68" s="89"/>
      <c r="N68" s="89"/>
      <c r="O68" s="89"/>
      <c r="P68" s="89"/>
      <c r="Q68" s="89"/>
    </row>
    <row r="69" spans="1:17" ht="17.100000000000001" customHeight="1" x14ac:dyDescent="0.25">
      <c r="A69" s="159" t="s">
        <v>39</v>
      </c>
      <c r="B69" s="108">
        <v>20</v>
      </c>
      <c r="C69" s="109">
        <v>1</v>
      </c>
      <c r="D69" s="110">
        <v>47</v>
      </c>
      <c r="E69" s="109">
        <v>22</v>
      </c>
      <c r="F69" s="110">
        <v>2</v>
      </c>
      <c r="G69" s="111">
        <v>2</v>
      </c>
      <c r="H69" s="106">
        <f>SUM(B69:G69)</f>
        <v>94</v>
      </c>
      <c r="I69" s="107">
        <f t="shared" si="16"/>
        <v>3.9138046969819986</v>
      </c>
      <c r="K69" s="84"/>
      <c r="L69" s="84"/>
      <c r="M69" s="84"/>
      <c r="N69" s="84"/>
      <c r="O69" s="84"/>
      <c r="P69" s="84"/>
      <c r="Q69" s="84"/>
    </row>
    <row r="70" spans="1:17" s="30" customFormat="1" ht="17.100000000000001" customHeight="1" x14ac:dyDescent="0.25">
      <c r="A70" s="165" t="s">
        <v>2</v>
      </c>
      <c r="B70" s="145">
        <v>2</v>
      </c>
      <c r="C70" s="148">
        <v>3</v>
      </c>
      <c r="D70" s="147">
        <v>4</v>
      </c>
      <c r="E70" s="148">
        <v>5</v>
      </c>
      <c r="F70" s="147">
        <v>0</v>
      </c>
      <c r="G70" s="149">
        <v>0</v>
      </c>
      <c r="H70" s="106">
        <f>SUM(B70:G70)</f>
        <v>14</v>
      </c>
      <c r="I70" s="121">
        <f t="shared" si="16"/>
        <v>0.58290708252923384</v>
      </c>
      <c r="K70" s="89"/>
      <c r="L70" s="89"/>
      <c r="M70" s="89"/>
      <c r="N70" s="89"/>
      <c r="O70" s="89"/>
      <c r="P70" s="89"/>
      <c r="Q70" s="89"/>
    </row>
    <row r="71" spans="1:17" s="37" customFormat="1" ht="17.100000000000001" customHeight="1" x14ac:dyDescent="0.25">
      <c r="A71" s="32" t="s">
        <v>42</v>
      </c>
      <c r="B71" s="33">
        <f t="shared" ref="B71:G71" si="17">SUM(B72:B76)</f>
        <v>10384</v>
      </c>
      <c r="C71" s="34">
        <f t="shared" si="17"/>
        <v>2703</v>
      </c>
      <c r="D71" s="31">
        <f t="shared" si="17"/>
        <v>5034</v>
      </c>
      <c r="E71" s="34">
        <f t="shared" si="17"/>
        <v>2411</v>
      </c>
      <c r="F71" s="31">
        <f t="shared" si="17"/>
        <v>489</v>
      </c>
      <c r="G71" s="35">
        <f t="shared" si="17"/>
        <v>456</v>
      </c>
      <c r="H71" s="36">
        <f t="shared" ref="H71:H81" si="18">SUM(B71:G71)</f>
        <v>21477</v>
      </c>
      <c r="I71" s="75">
        <f t="shared" si="16"/>
        <v>894.2211008200253</v>
      </c>
      <c r="K71" s="89"/>
      <c r="L71" s="89"/>
      <c r="M71" s="89"/>
      <c r="N71" s="89"/>
      <c r="O71" s="89"/>
      <c r="P71" s="89"/>
      <c r="Q71" s="89"/>
    </row>
    <row r="72" spans="1:17" s="30" customFormat="1" ht="17.100000000000001" customHeight="1" x14ac:dyDescent="0.25">
      <c r="A72" s="159" t="s">
        <v>1</v>
      </c>
      <c r="B72" s="145">
        <v>9826</v>
      </c>
      <c r="C72" s="148">
        <v>2047</v>
      </c>
      <c r="D72" s="147">
        <v>4034</v>
      </c>
      <c r="E72" s="148">
        <v>2052</v>
      </c>
      <c r="F72" s="147">
        <v>463</v>
      </c>
      <c r="G72" s="149">
        <v>440</v>
      </c>
      <c r="H72" s="106">
        <f t="shared" si="18"/>
        <v>18862</v>
      </c>
      <c r="I72" s="121">
        <f t="shared" si="16"/>
        <v>785.3423850476006</v>
      </c>
    </row>
    <row r="73" spans="1:17" s="30" customFormat="1" ht="17.100000000000001" customHeight="1" x14ac:dyDescent="0.25">
      <c r="A73" s="159" t="s">
        <v>22</v>
      </c>
      <c r="B73" s="102">
        <v>0</v>
      </c>
      <c r="C73" s="103">
        <v>0</v>
      </c>
      <c r="D73" s="104">
        <v>0</v>
      </c>
      <c r="E73" s="103">
        <v>0</v>
      </c>
      <c r="F73" s="104">
        <v>0</v>
      </c>
      <c r="G73" s="105">
        <v>0</v>
      </c>
      <c r="H73" s="106">
        <f t="shared" si="18"/>
        <v>0</v>
      </c>
      <c r="I73" s="121">
        <f t="shared" si="16"/>
        <v>0</v>
      </c>
    </row>
    <row r="74" spans="1:17" s="30" customFormat="1" ht="16.5" customHeight="1" x14ac:dyDescent="0.25">
      <c r="A74" s="159" t="s">
        <v>23</v>
      </c>
      <c r="B74" s="145">
        <v>527</v>
      </c>
      <c r="C74" s="148">
        <v>591</v>
      </c>
      <c r="D74" s="147">
        <v>894</v>
      </c>
      <c r="E74" s="148">
        <v>316</v>
      </c>
      <c r="F74" s="147">
        <v>26</v>
      </c>
      <c r="G74" s="149">
        <v>16</v>
      </c>
      <c r="H74" s="131">
        <f>SUM(B74:G74)</f>
        <v>2370</v>
      </c>
      <c r="I74" s="150">
        <f t="shared" si="16"/>
        <v>98.677841828163153</v>
      </c>
    </row>
    <row r="75" spans="1:17" s="30" customFormat="1" ht="16.5" customHeight="1" x14ac:dyDescent="0.25">
      <c r="A75" s="159" t="s">
        <v>39</v>
      </c>
      <c r="B75" s="145">
        <v>31</v>
      </c>
      <c r="C75" s="148">
        <v>65</v>
      </c>
      <c r="D75" s="147">
        <v>106</v>
      </c>
      <c r="E75" s="148">
        <v>43</v>
      </c>
      <c r="F75" s="147">
        <v>0</v>
      </c>
      <c r="G75" s="149">
        <v>0</v>
      </c>
      <c r="H75" s="131">
        <f>SUM(B75:G75)</f>
        <v>245</v>
      </c>
      <c r="I75" s="150">
        <f t="shared" si="16"/>
        <v>10.200873944261591</v>
      </c>
    </row>
    <row r="76" spans="1:17" s="30" customFormat="1" ht="17.100000000000001" customHeight="1" x14ac:dyDescent="0.25">
      <c r="A76" s="165" t="s">
        <v>2</v>
      </c>
      <c r="B76" s="102">
        <v>0</v>
      </c>
      <c r="C76" s="103">
        <v>0</v>
      </c>
      <c r="D76" s="104">
        <v>0</v>
      </c>
      <c r="E76" s="103">
        <v>0</v>
      </c>
      <c r="F76" s="104">
        <v>0</v>
      </c>
      <c r="G76" s="105">
        <v>0</v>
      </c>
      <c r="H76" s="106">
        <f t="shared" si="18"/>
        <v>0</v>
      </c>
      <c r="I76" s="121">
        <f t="shared" si="16"/>
        <v>0</v>
      </c>
    </row>
    <row r="77" spans="1:17" s="37" customFormat="1" ht="17.100000000000001" customHeight="1" x14ac:dyDescent="0.25">
      <c r="A77" s="32" t="s">
        <v>57</v>
      </c>
      <c r="B77" s="33">
        <f t="shared" ref="B77:G77" si="19">SUM(B78:B81)</f>
        <v>9</v>
      </c>
      <c r="C77" s="34">
        <f t="shared" si="19"/>
        <v>4</v>
      </c>
      <c r="D77" s="31">
        <f t="shared" si="19"/>
        <v>13</v>
      </c>
      <c r="E77" s="34">
        <f t="shared" si="19"/>
        <v>8</v>
      </c>
      <c r="F77" s="31">
        <f t="shared" si="19"/>
        <v>4</v>
      </c>
      <c r="G77" s="35">
        <f t="shared" si="19"/>
        <v>2</v>
      </c>
      <c r="H77" s="36">
        <f t="shared" si="18"/>
        <v>40</v>
      </c>
      <c r="I77" s="75">
        <f t="shared" si="16"/>
        <v>1.6654488072263824</v>
      </c>
      <c r="K77" s="84"/>
      <c r="L77" s="84"/>
      <c r="M77" s="84"/>
      <c r="N77" s="84"/>
      <c r="O77" s="84"/>
      <c r="P77" s="84"/>
      <c r="Q77" s="84"/>
    </row>
    <row r="78" spans="1:17" s="30" customFormat="1" ht="17.100000000000001" customHeight="1" x14ac:dyDescent="0.25">
      <c r="A78" s="159" t="s">
        <v>17</v>
      </c>
      <c r="B78" s="102">
        <v>8</v>
      </c>
      <c r="C78" s="103">
        <v>2</v>
      </c>
      <c r="D78" s="104">
        <v>4</v>
      </c>
      <c r="E78" s="103">
        <v>8</v>
      </c>
      <c r="F78" s="104">
        <v>4</v>
      </c>
      <c r="G78" s="105">
        <v>2</v>
      </c>
      <c r="H78" s="106">
        <f t="shared" si="18"/>
        <v>28</v>
      </c>
      <c r="I78" s="121">
        <f t="shared" si="16"/>
        <v>1.1658141650584677</v>
      </c>
      <c r="K78" s="84"/>
      <c r="L78" s="84"/>
      <c r="M78" s="84"/>
      <c r="N78" s="84"/>
      <c r="O78" s="84"/>
      <c r="P78" s="84"/>
      <c r="Q78" s="84"/>
    </row>
    <row r="79" spans="1:17" s="30" customFormat="1" ht="17.100000000000001" customHeight="1" x14ac:dyDescent="0.25">
      <c r="A79" s="160" t="s">
        <v>18</v>
      </c>
      <c r="B79" s="145">
        <v>1</v>
      </c>
      <c r="C79" s="148">
        <v>2</v>
      </c>
      <c r="D79" s="147">
        <v>5</v>
      </c>
      <c r="E79" s="148">
        <v>0</v>
      </c>
      <c r="F79" s="147">
        <v>0</v>
      </c>
      <c r="G79" s="149">
        <v>0</v>
      </c>
      <c r="H79" s="106">
        <f t="shared" si="18"/>
        <v>8</v>
      </c>
      <c r="I79" s="122">
        <f t="shared" si="16"/>
        <v>0.33308976144527647</v>
      </c>
      <c r="K79" s="84"/>
      <c r="L79" s="84"/>
      <c r="M79" s="84"/>
      <c r="N79" s="84"/>
      <c r="O79" s="84"/>
      <c r="P79" s="84"/>
      <c r="Q79" s="84"/>
    </row>
    <row r="80" spans="1:17" s="30" customFormat="1" ht="17.100000000000001" customHeight="1" x14ac:dyDescent="0.25">
      <c r="A80" s="159" t="s">
        <v>19</v>
      </c>
      <c r="B80" s="102">
        <v>0</v>
      </c>
      <c r="C80" s="103">
        <v>0</v>
      </c>
      <c r="D80" s="104">
        <v>4</v>
      </c>
      <c r="E80" s="103">
        <v>0</v>
      </c>
      <c r="F80" s="104">
        <v>0</v>
      </c>
      <c r="G80" s="105">
        <v>0</v>
      </c>
      <c r="H80" s="106">
        <f t="shared" si="18"/>
        <v>4</v>
      </c>
      <c r="I80" s="122">
        <f t="shared" si="16"/>
        <v>0.16654488072263823</v>
      </c>
      <c r="K80" s="84"/>
      <c r="L80" s="84"/>
      <c r="M80" s="84"/>
      <c r="N80" s="84"/>
      <c r="O80" s="84"/>
      <c r="P80" s="84"/>
      <c r="Q80" s="84"/>
    </row>
    <row r="81" spans="1:17" ht="17.100000000000001" customHeight="1" x14ac:dyDescent="0.25">
      <c r="A81" s="164" t="s">
        <v>20</v>
      </c>
      <c r="B81" s="102">
        <v>0</v>
      </c>
      <c r="C81" s="103">
        <v>0</v>
      </c>
      <c r="D81" s="104">
        <v>0</v>
      </c>
      <c r="E81" s="103">
        <v>0</v>
      </c>
      <c r="F81" s="147">
        <v>0</v>
      </c>
      <c r="G81" s="149">
        <v>0</v>
      </c>
      <c r="H81" s="106">
        <f t="shared" si="18"/>
        <v>0</v>
      </c>
      <c r="I81" s="121">
        <f t="shared" si="16"/>
        <v>0</v>
      </c>
      <c r="K81" s="84"/>
      <c r="L81" s="84"/>
      <c r="M81" s="84"/>
      <c r="N81" s="84"/>
      <c r="O81" s="84"/>
      <c r="P81" s="84"/>
      <c r="Q81" s="84"/>
    </row>
    <row r="82" spans="1:17" ht="27.75" customHeight="1" x14ac:dyDescent="0.2">
      <c r="A82" s="69" t="s">
        <v>62</v>
      </c>
      <c r="B82" s="207">
        <v>2401755</v>
      </c>
      <c r="C82" s="213"/>
      <c r="D82" s="68"/>
      <c r="E82" s="68"/>
      <c r="F82" s="68"/>
      <c r="G82" s="68"/>
      <c r="H82" s="68"/>
      <c r="I82" s="68"/>
      <c r="K82" s="87"/>
      <c r="L82" s="87"/>
      <c r="M82" s="87"/>
      <c r="N82" s="87"/>
      <c r="O82" s="87"/>
      <c r="P82" s="87"/>
      <c r="Q82" s="84"/>
    </row>
    <row r="83" spans="1:17" ht="27.95" customHeight="1" x14ac:dyDescent="0.2">
      <c r="A83" s="69" t="s">
        <v>13</v>
      </c>
      <c r="B83" s="70"/>
      <c r="C83" s="71"/>
      <c r="D83" s="72"/>
      <c r="E83" s="70"/>
      <c r="F83" s="71"/>
      <c r="G83" s="73"/>
      <c r="H83" s="69"/>
      <c r="I83" s="69"/>
      <c r="K83" s="85"/>
      <c r="L83" s="84"/>
      <c r="M83" s="84"/>
      <c r="N83" s="84"/>
      <c r="O83" s="84"/>
      <c r="P83" s="84"/>
      <c r="Q83" s="84"/>
    </row>
    <row r="84" spans="1:17" ht="27.95" customHeight="1" x14ac:dyDescent="0.2">
      <c r="A84" s="208" t="s">
        <v>14</v>
      </c>
      <c r="B84" s="209"/>
      <c r="C84" s="209"/>
      <c r="D84" s="209"/>
      <c r="E84" s="209"/>
      <c r="F84" s="209"/>
      <c r="G84" s="209"/>
      <c r="H84" s="209"/>
      <c r="I84" s="209"/>
      <c r="K84" s="85"/>
      <c r="L84" s="84"/>
      <c r="M84" s="84"/>
      <c r="N84" s="84"/>
      <c r="O84" s="84"/>
      <c r="P84" s="84"/>
      <c r="Q84" s="84"/>
    </row>
    <row r="85" spans="1:17" ht="16.5" customHeight="1" x14ac:dyDescent="0.25">
      <c r="A85" s="208" t="s">
        <v>16</v>
      </c>
      <c r="B85" s="209"/>
      <c r="C85" s="209"/>
      <c r="D85" s="209"/>
      <c r="E85" s="209"/>
      <c r="F85" s="209"/>
      <c r="G85" s="209"/>
      <c r="H85" s="209"/>
      <c r="I85" s="209"/>
      <c r="K85" s="29"/>
    </row>
    <row r="86" spans="1:17" ht="27.95" customHeight="1" x14ac:dyDescent="0.25">
      <c r="A86" s="74" t="s">
        <v>81</v>
      </c>
      <c r="B86" s="70"/>
      <c r="C86" s="71"/>
      <c r="D86" s="72"/>
      <c r="E86" s="70"/>
      <c r="F86" s="71"/>
      <c r="G86" s="73"/>
      <c r="H86" s="69"/>
      <c r="I86" s="69"/>
      <c r="K86" s="29"/>
    </row>
    <row r="87" spans="1:17" ht="15.75" x14ac:dyDescent="0.25">
      <c r="B87" s="11"/>
      <c r="C87" s="2"/>
      <c r="E87" s="11"/>
      <c r="F87" s="2"/>
      <c r="K87" s="29"/>
    </row>
    <row r="88" spans="1:17" x14ac:dyDescent="0.2">
      <c r="B88" s="64"/>
      <c r="C88" s="63"/>
      <c r="D88" s="63"/>
      <c r="E88" s="64"/>
      <c r="F88" s="64"/>
      <c r="G88" s="63"/>
      <c r="H88" s="63"/>
    </row>
    <row r="89" spans="1:17" x14ac:dyDescent="0.2">
      <c r="B89" s="166">
        <v>46466</v>
      </c>
      <c r="C89" s="167">
        <v>14368</v>
      </c>
      <c r="D89" s="167">
        <v>33922</v>
      </c>
      <c r="E89" s="166">
        <v>22446</v>
      </c>
      <c r="F89" s="167">
        <v>6500</v>
      </c>
      <c r="G89" s="167">
        <v>8072</v>
      </c>
      <c r="H89" s="167">
        <v>131774</v>
      </c>
    </row>
    <row r="90" spans="1:17" x14ac:dyDescent="0.2">
      <c r="B90" s="167">
        <v>166</v>
      </c>
      <c r="C90" s="167">
        <v>163</v>
      </c>
      <c r="D90" s="167">
        <v>306</v>
      </c>
      <c r="E90" s="166">
        <v>100</v>
      </c>
      <c r="F90" s="167">
        <v>11</v>
      </c>
      <c r="G90" s="167">
        <v>11</v>
      </c>
      <c r="H90" s="167">
        <v>757</v>
      </c>
      <c r="J90" s="21"/>
    </row>
    <row r="91" spans="1:17" x14ac:dyDescent="0.2">
      <c r="B91" s="166">
        <v>993</v>
      </c>
      <c r="C91" s="167">
        <v>1312</v>
      </c>
      <c r="D91" s="167">
        <v>2109</v>
      </c>
      <c r="E91" s="166">
        <v>764</v>
      </c>
      <c r="F91" s="167">
        <v>74</v>
      </c>
      <c r="G91" s="167">
        <v>37</v>
      </c>
      <c r="H91" s="167">
        <v>5289</v>
      </c>
      <c r="J91" s="9"/>
    </row>
    <row r="92" spans="1:17" x14ac:dyDescent="0.2">
      <c r="B92" s="166">
        <v>49</v>
      </c>
      <c r="C92" s="167">
        <v>80</v>
      </c>
      <c r="D92" s="168">
        <v>129</v>
      </c>
      <c r="E92" s="166">
        <v>54</v>
      </c>
      <c r="F92" s="167">
        <v>0</v>
      </c>
      <c r="G92" s="168">
        <v>0</v>
      </c>
      <c r="H92" s="167">
        <v>312</v>
      </c>
      <c r="J92" s="9"/>
    </row>
    <row r="93" spans="1:17" x14ac:dyDescent="0.2">
      <c r="B93" s="166">
        <v>137</v>
      </c>
      <c r="C93" s="167">
        <v>96</v>
      </c>
      <c r="D93" s="168">
        <v>197</v>
      </c>
      <c r="E93" s="166">
        <v>96</v>
      </c>
      <c r="F93" s="167">
        <v>27</v>
      </c>
      <c r="G93" s="168">
        <v>22</v>
      </c>
      <c r="H93" s="167">
        <v>575</v>
      </c>
      <c r="J93" s="9"/>
    </row>
    <row r="94" spans="1:17" x14ac:dyDescent="0.2">
      <c r="B94" s="166">
        <v>48602</v>
      </c>
      <c r="C94" s="167">
        <v>16611</v>
      </c>
      <c r="D94" s="168">
        <v>38205</v>
      </c>
      <c r="E94" s="166">
        <v>24640</v>
      </c>
      <c r="F94" s="167">
        <v>7041</v>
      </c>
      <c r="G94" s="168">
        <v>8660</v>
      </c>
      <c r="H94" s="167">
        <v>143759</v>
      </c>
      <c r="J94" s="9"/>
    </row>
    <row r="95" spans="1:17" x14ac:dyDescent="0.2">
      <c r="B95" s="66"/>
      <c r="C95" s="19"/>
      <c r="D95" s="65"/>
      <c r="E95" s="66"/>
      <c r="F95" s="19"/>
      <c r="G95" s="19"/>
      <c r="H95" s="19"/>
    </row>
    <row r="96" spans="1:17" x14ac:dyDescent="0.2">
      <c r="B96" s="11"/>
      <c r="C96" s="12"/>
      <c r="D96" s="23"/>
      <c r="E96" s="11"/>
      <c r="F96" s="12"/>
      <c r="G96" s="13"/>
    </row>
    <row r="97" spans="2:7" x14ac:dyDescent="0.2">
      <c r="B97" s="11"/>
      <c r="C97" s="12"/>
      <c r="D97" s="23"/>
      <c r="E97" s="11"/>
      <c r="F97" s="12"/>
      <c r="G97" s="13"/>
    </row>
    <row r="98" spans="2:7" x14ac:dyDescent="0.2">
      <c r="B98" s="11"/>
      <c r="C98" s="12"/>
      <c r="D98" s="23"/>
      <c r="E98" s="11"/>
      <c r="F98" s="12"/>
      <c r="G98" s="13"/>
    </row>
    <row r="99" spans="2:7" x14ac:dyDescent="0.2">
      <c r="B99" s="11"/>
      <c r="C99" s="12"/>
      <c r="D99" s="23"/>
      <c r="E99" s="11"/>
      <c r="F99" s="12"/>
      <c r="G99" s="13"/>
    </row>
    <row r="100" spans="2:7" x14ac:dyDescent="0.2">
      <c r="B100" s="11"/>
      <c r="C100" s="12"/>
      <c r="D100" s="23"/>
      <c r="E100" s="11"/>
      <c r="F100" s="12"/>
      <c r="G100" s="13"/>
    </row>
    <row r="101" spans="2:7" x14ac:dyDescent="0.2">
      <c r="B101" s="11"/>
      <c r="E101" s="11"/>
    </row>
    <row r="102" spans="2:7" x14ac:dyDescent="0.2">
      <c r="B102" s="11"/>
      <c r="C102" s="12"/>
      <c r="D102" s="23"/>
      <c r="E102" s="11"/>
      <c r="F102" s="12"/>
      <c r="G102" s="13"/>
    </row>
    <row r="103" spans="2:7" x14ac:dyDescent="0.2">
      <c r="B103" s="11"/>
      <c r="C103" s="12"/>
      <c r="D103" s="23"/>
      <c r="E103" s="11"/>
      <c r="F103" s="12"/>
      <c r="G103" s="13"/>
    </row>
    <row r="104" spans="2:7" x14ac:dyDescent="0.2">
      <c r="B104" s="11"/>
      <c r="C104" s="12"/>
      <c r="D104" s="23"/>
      <c r="E104" s="11"/>
      <c r="F104" s="12"/>
      <c r="G104" s="13"/>
    </row>
    <row r="105" spans="2:7" x14ac:dyDescent="0.2">
      <c r="B105" s="11"/>
      <c r="C105" s="12"/>
      <c r="D105" s="23"/>
      <c r="E105" s="11"/>
      <c r="F105" s="12"/>
      <c r="G105" s="13"/>
    </row>
    <row r="106" spans="2:7" x14ac:dyDescent="0.2">
      <c r="B106" s="11"/>
      <c r="C106" s="12"/>
      <c r="D106" s="23"/>
      <c r="E106" s="11"/>
      <c r="F106" s="12"/>
      <c r="G106" s="13"/>
    </row>
    <row r="107" spans="2:7" x14ac:dyDescent="0.2">
      <c r="B107" s="11"/>
      <c r="C107" s="12"/>
      <c r="E107" s="11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C109" s="12"/>
      <c r="E109" s="3"/>
      <c r="F109" s="12"/>
    </row>
    <row r="110" spans="2:7" x14ac:dyDescent="0.2">
      <c r="B110" s="3"/>
      <c r="E110" s="3"/>
    </row>
    <row r="111" spans="2:7" x14ac:dyDescent="0.2">
      <c r="B111" s="3"/>
      <c r="E111" s="3"/>
    </row>
    <row r="112" spans="2:7" x14ac:dyDescent="0.2">
      <c r="B112" s="14"/>
      <c r="C112" s="5"/>
      <c r="D112" s="24"/>
      <c r="E112" s="14"/>
      <c r="F112" s="5"/>
      <c r="G112" s="5"/>
    </row>
    <row r="113" spans="1:10" x14ac:dyDescent="0.2">
      <c r="B113" s="3"/>
      <c r="D113" s="24"/>
      <c r="E113" s="3"/>
      <c r="G113" s="5"/>
    </row>
    <row r="114" spans="1:10" x14ac:dyDescent="0.2">
      <c r="B114" s="3"/>
      <c r="D114" s="24"/>
      <c r="E114" s="3"/>
      <c r="G114" s="5"/>
    </row>
    <row r="115" spans="1:10" ht="15.75" x14ac:dyDescent="0.25">
      <c r="A115" s="15"/>
      <c r="B115" s="3"/>
      <c r="E115" s="3"/>
    </row>
    <row r="116" spans="1:10" ht="15.75" x14ac:dyDescent="0.25">
      <c r="A116" s="15"/>
      <c r="B116" s="3"/>
      <c r="E116" s="3"/>
      <c r="H116" s="3"/>
    </row>
    <row r="117" spans="1:10" ht="15.75" x14ac:dyDescent="0.25">
      <c r="A117" s="15"/>
      <c r="B117" s="3"/>
      <c r="C117" s="12"/>
      <c r="D117" s="23"/>
      <c r="E117" s="3"/>
      <c r="F117" s="12"/>
      <c r="G117" s="13"/>
      <c r="I117" s="13"/>
      <c r="J117" s="7"/>
    </row>
    <row r="118" spans="1:10" x14ac:dyDescent="0.2">
      <c r="B118" s="3"/>
      <c r="C118" s="12"/>
      <c r="D118" s="23"/>
      <c r="E118" s="3"/>
      <c r="F118" s="12"/>
      <c r="G118" s="13"/>
    </row>
    <row r="119" spans="1:10" x14ac:dyDescent="0.2">
      <c r="B119" s="3"/>
      <c r="C119" s="12"/>
      <c r="D119" s="23"/>
      <c r="E119" s="3"/>
      <c r="F119" s="12"/>
      <c r="G119" s="13"/>
    </row>
    <row r="120" spans="1:10" x14ac:dyDescent="0.2">
      <c r="B120" s="3"/>
      <c r="C120" s="12"/>
      <c r="D120" s="23"/>
      <c r="E120" s="3"/>
      <c r="F120" s="12"/>
      <c r="G120" s="13"/>
    </row>
    <row r="121" spans="1:10" x14ac:dyDescent="0.2">
      <c r="B121" s="3"/>
      <c r="C121" s="12"/>
      <c r="D121" s="23"/>
      <c r="E121" s="3"/>
      <c r="F121" s="12"/>
      <c r="G121" s="13"/>
    </row>
    <row r="122" spans="1:10" ht="15.75" x14ac:dyDescent="0.25">
      <c r="A122" s="6"/>
      <c r="B122" s="3"/>
      <c r="C122" s="12"/>
      <c r="D122" s="23"/>
      <c r="E122" s="3"/>
      <c r="F122" s="12"/>
      <c r="G122" s="13"/>
    </row>
    <row r="123" spans="1:10" x14ac:dyDescent="0.2">
      <c r="B123" s="3"/>
      <c r="E123" s="3"/>
    </row>
    <row r="124" spans="1:10" ht="15.75" x14ac:dyDescent="0.25">
      <c r="A124" s="6"/>
      <c r="B124" s="3"/>
      <c r="E124" s="3"/>
    </row>
    <row r="125" spans="1:10" ht="15.75" x14ac:dyDescent="0.2">
      <c r="A125" s="4"/>
      <c r="B125" s="3"/>
      <c r="E125" s="3"/>
    </row>
    <row r="126" spans="1:10" x14ac:dyDescent="0.2">
      <c r="B126" s="3"/>
      <c r="E126" s="3"/>
    </row>
    <row r="127" spans="1:10" ht="15.75" x14ac:dyDescent="0.25">
      <c r="A127" s="6"/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B134" s="3"/>
      <c r="E134" s="3"/>
    </row>
    <row r="135" spans="1:7" x14ac:dyDescent="0.2">
      <c r="A135" s="10"/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E141" s="3"/>
    </row>
    <row r="142" spans="1:7" x14ac:dyDescent="0.2">
      <c r="B142" s="3"/>
      <c r="C142" s="12"/>
      <c r="D142" s="23"/>
      <c r="E142" s="3"/>
      <c r="F142" s="12"/>
      <c r="G142" s="13"/>
    </row>
    <row r="143" spans="1:7" x14ac:dyDescent="0.2">
      <c r="B143" s="3"/>
      <c r="C143" s="12"/>
      <c r="D143" s="23"/>
      <c r="E143" s="3"/>
      <c r="F143" s="12"/>
      <c r="G143" s="13"/>
    </row>
    <row r="144" spans="1:7" x14ac:dyDescent="0.2">
      <c r="B144" s="3"/>
      <c r="C144" s="12"/>
      <c r="D144" s="23"/>
      <c r="E144" s="3"/>
      <c r="F144" s="12"/>
      <c r="G144" s="13"/>
    </row>
    <row r="145" spans="1:7" x14ac:dyDescent="0.2">
      <c r="B145" s="3"/>
      <c r="C145" s="12"/>
      <c r="D145" s="23"/>
      <c r="E145" s="3"/>
      <c r="F145" s="12"/>
      <c r="G145" s="13"/>
    </row>
    <row r="146" spans="1:7" ht="15.75" x14ac:dyDescent="0.25">
      <c r="A146" s="15"/>
      <c r="B146" s="3"/>
      <c r="C146" s="12"/>
      <c r="D146" s="23"/>
      <c r="E146" s="3"/>
      <c r="F146" s="12"/>
      <c r="G146" s="13"/>
    </row>
    <row r="147" spans="1:7" ht="15.75" x14ac:dyDescent="0.25">
      <c r="A147" s="6"/>
      <c r="B147" s="3"/>
      <c r="C147" s="12"/>
      <c r="D147" s="23"/>
      <c r="E147" s="3"/>
      <c r="F147" s="12"/>
      <c r="G147" s="13"/>
    </row>
    <row r="148" spans="1:7" ht="15.75" x14ac:dyDescent="0.25">
      <c r="A148" s="8"/>
      <c r="B148" s="3"/>
      <c r="C148" s="12"/>
      <c r="D148" s="23"/>
      <c r="E148" s="3"/>
      <c r="F148" s="12"/>
      <c r="G148" s="13"/>
    </row>
    <row r="149" spans="1:7" x14ac:dyDescent="0.2">
      <c r="B149" s="3"/>
      <c r="C149" s="12"/>
      <c r="D149" s="23"/>
      <c r="E149" s="3"/>
      <c r="F149" s="12"/>
      <c r="G149" s="13"/>
    </row>
    <row r="150" spans="1:7" x14ac:dyDescent="0.2">
      <c r="A150" s="10"/>
      <c r="B150" s="3"/>
      <c r="C150" s="12"/>
      <c r="D150" s="23"/>
      <c r="E150" s="3"/>
      <c r="F150" s="12"/>
      <c r="G150" s="13"/>
    </row>
    <row r="151" spans="1:7" x14ac:dyDescent="0.2">
      <c r="B151" s="3"/>
      <c r="C151" s="12"/>
      <c r="D151" s="23"/>
      <c r="E151" s="3"/>
      <c r="F151" s="12"/>
      <c r="G151" s="13"/>
    </row>
    <row r="152" spans="1:7" x14ac:dyDescent="0.2">
      <c r="A152" s="10"/>
      <c r="B152" s="3"/>
      <c r="C152" s="12"/>
      <c r="D152" s="23"/>
      <c r="E152" s="3"/>
      <c r="F152" s="12"/>
      <c r="G152" s="13"/>
    </row>
    <row r="153" spans="1:7" x14ac:dyDescent="0.2">
      <c r="B153" s="3"/>
      <c r="C153" s="12"/>
      <c r="D153" s="23"/>
      <c r="E153" s="3"/>
      <c r="F153" s="12"/>
      <c r="G153" s="13"/>
    </row>
    <row r="154" spans="1:7" ht="15.75" x14ac:dyDescent="0.25">
      <c r="A154" s="15"/>
      <c r="C154" s="12"/>
      <c r="D154" s="23"/>
      <c r="F154" s="12"/>
      <c r="G154" s="13"/>
    </row>
    <row r="155" spans="1:7" ht="15.75" x14ac:dyDescent="0.25">
      <c r="A155" s="15"/>
      <c r="C155" s="12"/>
      <c r="D155" s="23"/>
      <c r="F155" s="12"/>
      <c r="G155" s="13"/>
    </row>
    <row r="156" spans="1:7" ht="15.75" x14ac:dyDescent="0.25">
      <c r="A156" s="15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D159" s="23"/>
      <c r="F159" s="12"/>
      <c r="G159" s="13"/>
    </row>
    <row r="160" spans="1:7" x14ac:dyDescent="0.2">
      <c r="B160" s="10"/>
      <c r="C160" s="16"/>
      <c r="D160" s="25"/>
      <c r="E160" s="10"/>
      <c r="F160" s="16"/>
      <c r="G160" s="17"/>
    </row>
    <row r="161" spans="1:7" ht="15.75" x14ac:dyDescent="0.25">
      <c r="A161" s="6"/>
      <c r="C161" s="12"/>
      <c r="D161" s="23"/>
      <c r="F161" s="12"/>
      <c r="G161" s="13"/>
    </row>
    <row r="162" spans="1:7" x14ac:dyDescent="0.2">
      <c r="B162" s="10"/>
      <c r="C162" s="16"/>
      <c r="D162" s="25"/>
      <c r="E162" s="10"/>
      <c r="F162" s="16"/>
      <c r="G162" s="17"/>
    </row>
    <row r="163" spans="1:7" ht="15.75" x14ac:dyDescent="0.25">
      <c r="A163" s="6"/>
      <c r="C163" s="12"/>
      <c r="D163" s="23"/>
      <c r="F163" s="12"/>
      <c r="G163" s="13"/>
    </row>
    <row r="164" spans="1:7" ht="15.75" x14ac:dyDescent="0.2">
      <c r="A164" s="4"/>
      <c r="C164" s="12"/>
      <c r="F164" s="12"/>
    </row>
    <row r="165" spans="1:7" x14ac:dyDescent="0.2">
      <c r="C165" s="12"/>
      <c r="F165" s="12"/>
    </row>
    <row r="166" spans="1:7" ht="15.75" x14ac:dyDescent="0.25">
      <c r="A166" s="6"/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C173" s="12"/>
      <c r="F173" s="12"/>
    </row>
    <row r="174" spans="1:7" x14ac:dyDescent="0.2">
      <c r="A174" s="10"/>
      <c r="B174" s="5"/>
      <c r="E174" s="5"/>
    </row>
    <row r="175" spans="1:7" x14ac:dyDescent="0.2">
      <c r="B175" s="5"/>
      <c r="C175" s="5"/>
      <c r="D175" s="24"/>
      <c r="E175" s="5"/>
      <c r="F175" s="5"/>
      <c r="G175" s="5"/>
    </row>
    <row r="176" spans="1:7" x14ac:dyDescent="0.2">
      <c r="D176" s="24"/>
      <c r="G176" s="5"/>
    </row>
    <row r="178" spans="1:7" x14ac:dyDescent="0.2">
      <c r="C178" s="12"/>
      <c r="D178" s="23"/>
      <c r="F178" s="12"/>
      <c r="G178" s="13"/>
    </row>
    <row r="179" spans="1:7" x14ac:dyDescent="0.2"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x14ac:dyDescent="0.2">
      <c r="C181" s="12"/>
      <c r="D181" s="23"/>
      <c r="F181" s="12"/>
      <c r="G181" s="13"/>
    </row>
    <row r="182" spans="1:7" x14ac:dyDescent="0.2">
      <c r="C182" s="12"/>
      <c r="D182" s="23"/>
      <c r="F182" s="12"/>
      <c r="G182" s="13"/>
    </row>
    <row r="183" spans="1:7" x14ac:dyDescent="0.2">
      <c r="C183" s="12"/>
      <c r="D183" s="23"/>
      <c r="F183" s="12"/>
      <c r="G183" s="13"/>
    </row>
    <row r="184" spans="1:7" x14ac:dyDescent="0.2">
      <c r="B184" s="10"/>
      <c r="C184" s="16"/>
      <c r="D184" s="25"/>
      <c r="E184" s="10"/>
      <c r="F184" s="16"/>
      <c r="G184" s="17"/>
    </row>
    <row r="185" spans="1:7" ht="15.75" x14ac:dyDescent="0.25">
      <c r="A185" s="15"/>
      <c r="C185" s="12"/>
      <c r="D185" s="23"/>
      <c r="F185" s="12"/>
      <c r="G185" s="13"/>
    </row>
    <row r="186" spans="1:7" ht="15.75" x14ac:dyDescent="0.25">
      <c r="A186" s="6"/>
      <c r="C186" s="12"/>
      <c r="D186" s="23"/>
      <c r="F186" s="12"/>
      <c r="G186" s="13"/>
    </row>
    <row r="187" spans="1:7" ht="15.75" x14ac:dyDescent="0.25">
      <c r="A187" s="8"/>
      <c r="C187" s="12"/>
      <c r="D187" s="23"/>
      <c r="F187" s="12"/>
      <c r="G187" s="13"/>
    </row>
    <row r="188" spans="1:7" x14ac:dyDescent="0.2">
      <c r="C188" s="12"/>
      <c r="D188" s="23"/>
      <c r="F188" s="12"/>
      <c r="G188" s="13"/>
    </row>
    <row r="189" spans="1:7" x14ac:dyDescent="0.2">
      <c r="A189" s="10"/>
      <c r="C189" s="12"/>
      <c r="D189" s="23"/>
      <c r="F189" s="12"/>
      <c r="G189" s="13"/>
    </row>
    <row r="190" spans="1:7" x14ac:dyDescent="0.2">
      <c r="C190" s="12"/>
      <c r="D190" s="23"/>
      <c r="F190" s="12"/>
      <c r="G190" s="13"/>
    </row>
    <row r="191" spans="1:7" x14ac:dyDescent="0.2">
      <c r="A191" s="10"/>
      <c r="C191" s="12"/>
      <c r="D191" s="23"/>
      <c r="F191" s="12"/>
      <c r="G191" s="13"/>
    </row>
    <row r="192" spans="1:7" x14ac:dyDescent="0.2">
      <c r="C192" s="12"/>
      <c r="D192" s="23"/>
      <c r="F192" s="12"/>
      <c r="G192" s="13"/>
    </row>
    <row r="193" spans="1:7" ht="15.75" x14ac:dyDescent="0.25">
      <c r="A193" s="15"/>
      <c r="C193" s="12"/>
      <c r="D193" s="23"/>
      <c r="F193" s="12"/>
      <c r="G193" s="13"/>
    </row>
    <row r="194" spans="1:7" ht="15.75" x14ac:dyDescent="0.25">
      <c r="A194" s="15"/>
      <c r="C194" s="12"/>
      <c r="D194" s="23"/>
      <c r="F194" s="12"/>
      <c r="G194" s="13"/>
    </row>
    <row r="195" spans="1:7" ht="15.75" x14ac:dyDescent="0.25">
      <c r="A195" s="15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D198" s="23"/>
      <c r="F198" s="12"/>
      <c r="G198" s="13"/>
    </row>
    <row r="199" spans="1:7" x14ac:dyDescent="0.2">
      <c r="B199" s="10"/>
      <c r="C199" s="16"/>
      <c r="D199" s="25"/>
      <c r="E199" s="10"/>
      <c r="F199" s="16"/>
      <c r="G199" s="17"/>
    </row>
    <row r="200" spans="1:7" ht="15.75" x14ac:dyDescent="0.25">
      <c r="A200" s="6"/>
      <c r="C200" s="12"/>
      <c r="D200" s="23"/>
      <c r="F200" s="12"/>
      <c r="G200" s="13"/>
    </row>
    <row r="201" spans="1:7" x14ac:dyDescent="0.2">
      <c r="B201" s="10"/>
      <c r="C201" s="16"/>
      <c r="D201" s="25"/>
      <c r="E201" s="10"/>
      <c r="F201" s="16"/>
      <c r="G201" s="17"/>
    </row>
    <row r="202" spans="1:7" ht="15.75" x14ac:dyDescent="0.25">
      <c r="A202" s="6"/>
      <c r="C202" s="12"/>
      <c r="D202" s="23"/>
      <c r="F202" s="12"/>
      <c r="G202" s="13"/>
    </row>
    <row r="203" spans="1:7" ht="15.75" x14ac:dyDescent="0.2">
      <c r="A203" s="4"/>
      <c r="C203" s="12"/>
      <c r="F203" s="12"/>
    </row>
    <row r="204" spans="1:7" x14ac:dyDescent="0.2">
      <c r="C204" s="12"/>
      <c r="F204" s="12"/>
    </row>
    <row r="205" spans="1:7" ht="15.75" x14ac:dyDescent="0.25">
      <c r="A205" s="6"/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C212" s="12"/>
      <c r="F212" s="12"/>
    </row>
    <row r="213" spans="1:7" x14ac:dyDescent="0.2">
      <c r="A213" s="10"/>
      <c r="B213" s="5"/>
      <c r="E213" s="5"/>
    </row>
    <row r="214" spans="1:7" x14ac:dyDescent="0.2">
      <c r="B214" s="5"/>
      <c r="C214" s="5"/>
      <c r="D214" s="24"/>
      <c r="E214" s="5"/>
      <c r="F214" s="5"/>
      <c r="G214" s="5"/>
    </row>
    <row r="215" spans="1:7" x14ac:dyDescent="0.2">
      <c r="D215" s="24"/>
      <c r="G215" s="5"/>
    </row>
    <row r="217" spans="1:7" x14ac:dyDescent="0.2">
      <c r="C217" s="12"/>
      <c r="D217" s="23"/>
      <c r="F217" s="12"/>
      <c r="G217" s="13"/>
    </row>
    <row r="218" spans="1:7" x14ac:dyDescent="0.2"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x14ac:dyDescent="0.2">
      <c r="C220" s="12"/>
      <c r="D220" s="23"/>
      <c r="F220" s="12"/>
      <c r="G220" s="13"/>
    </row>
    <row r="221" spans="1:7" x14ac:dyDescent="0.2">
      <c r="C221" s="12"/>
      <c r="D221" s="23"/>
      <c r="F221" s="12"/>
      <c r="G221" s="13"/>
    </row>
    <row r="222" spans="1:7" x14ac:dyDescent="0.2">
      <c r="C222" s="12"/>
      <c r="D222" s="23"/>
      <c r="F222" s="12"/>
      <c r="G222" s="13"/>
    </row>
    <row r="223" spans="1:7" x14ac:dyDescent="0.2">
      <c r="B223" s="10"/>
      <c r="C223" s="16"/>
      <c r="D223" s="25"/>
      <c r="E223" s="10"/>
      <c r="F223" s="16"/>
      <c r="G223" s="17"/>
    </row>
    <row r="224" spans="1:7" ht="15.75" x14ac:dyDescent="0.25">
      <c r="A224" s="15"/>
      <c r="C224" s="12"/>
      <c r="D224" s="23"/>
      <c r="F224" s="12"/>
      <c r="G224" s="13"/>
    </row>
    <row r="225" spans="1:7" ht="15.75" x14ac:dyDescent="0.25">
      <c r="A225" s="6"/>
      <c r="C225" s="12"/>
      <c r="D225" s="23"/>
      <c r="F225" s="12"/>
      <c r="G225" s="13"/>
    </row>
    <row r="226" spans="1:7" ht="15.75" x14ac:dyDescent="0.25">
      <c r="A226" s="8"/>
      <c r="C226" s="12"/>
      <c r="D226" s="23"/>
      <c r="F226" s="12"/>
      <c r="G226" s="13"/>
    </row>
    <row r="227" spans="1:7" x14ac:dyDescent="0.2">
      <c r="C227" s="12"/>
      <c r="D227" s="23"/>
      <c r="F227" s="12"/>
      <c r="G227" s="13"/>
    </row>
    <row r="228" spans="1:7" x14ac:dyDescent="0.2">
      <c r="A228" s="10"/>
      <c r="C228" s="12"/>
      <c r="D228" s="23"/>
      <c r="F228" s="12"/>
      <c r="G228" s="13"/>
    </row>
    <row r="229" spans="1:7" x14ac:dyDescent="0.2">
      <c r="C229" s="12"/>
      <c r="D229" s="23"/>
      <c r="F229" s="12"/>
      <c r="G229" s="13"/>
    </row>
    <row r="230" spans="1:7" x14ac:dyDescent="0.2">
      <c r="A230" s="10"/>
      <c r="C230" s="12"/>
      <c r="D230" s="23"/>
      <c r="F230" s="12"/>
      <c r="G230" s="13"/>
    </row>
    <row r="231" spans="1:7" x14ac:dyDescent="0.2">
      <c r="C231" s="12"/>
      <c r="D231" s="23"/>
      <c r="F231" s="12"/>
      <c r="G231" s="13"/>
    </row>
    <row r="232" spans="1:7" ht="15.75" x14ac:dyDescent="0.25">
      <c r="A232" s="15"/>
      <c r="C232" s="12"/>
      <c r="D232" s="23"/>
      <c r="F232" s="12"/>
      <c r="G232" s="13"/>
    </row>
    <row r="233" spans="1:7" ht="15.75" x14ac:dyDescent="0.25">
      <c r="A233" s="15"/>
      <c r="C233" s="12"/>
      <c r="D233" s="23"/>
      <c r="F233" s="12"/>
      <c r="G233" s="13"/>
    </row>
    <row r="234" spans="1:7" ht="15.75" x14ac:dyDescent="0.25">
      <c r="A234" s="15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D237" s="23"/>
      <c r="F237" s="12"/>
      <c r="G237" s="13"/>
    </row>
    <row r="238" spans="1:7" x14ac:dyDescent="0.2">
      <c r="B238" s="10"/>
      <c r="C238" s="16"/>
      <c r="D238" s="25"/>
      <c r="E238" s="10"/>
      <c r="F238" s="16"/>
      <c r="G238" s="17"/>
    </row>
    <row r="239" spans="1:7" ht="15.75" x14ac:dyDescent="0.25">
      <c r="A239" s="6"/>
      <c r="C239" s="12"/>
      <c r="D239" s="23"/>
      <c r="F239" s="12"/>
      <c r="G239" s="13"/>
    </row>
    <row r="240" spans="1:7" x14ac:dyDescent="0.2">
      <c r="B240" s="10"/>
      <c r="C240" s="16"/>
      <c r="D240" s="25"/>
      <c r="E240" s="10"/>
      <c r="F240" s="16"/>
      <c r="G240" s="17"/>
    </row>
    <row r="241" spans="1:7" ht="15.75" x14ac:dyDescent="0.25">
      <c r="A241" s="6"/>
      <c r="C241" s="12"/>
      <c r="D241" s="23"/>
      <c r="F241" s="12"/>
      <c r="G241" s="13"/>
    </row>
    <row r="242" spans="1:7" ht="15.75" x14ac:dyDescent="0.2">
      <c r="A242" s="4"/>
      <c r="C242" s="12"/>
      <c r="F242" s="12"/>
    </row>
    <row r="243" spans="1:7" x14ac:dyDescent="0.2">
      <c r="C243" s="12"/>
      <c r="F243" s="12"/>
    </row>
    <row r="244" spans="1:7" ht="15.75" x14ac:dyDescent="0.25">
      <c r="A244" s="6"/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C251" s="12"/>
      <c r="F251" s="12"/>
    </row>
    <row r="252" spans="1:7" x14ac:dyDescent="0.2">
      <c r="A252" s="10"/>
      <c r="B252" s="5"/>
      <c r="E252" s="5"/>
    </row>
    <row r="253" spans="1:7" x14ac:dyDescent="0.2">
      <c r="B253" s="5"/>
      <c r="C253" s="5"/>
      <c r="D253" s="24"/>
      <c r="E253" s="5"/>
      <c r="F253" s="5"/>
      <c r="G253" s="5"/>
    </row>
    <row r="254" spans="1:7" x14ac:dyDescent="0.2">
      <c r="D254" s="24"/>
      <c r="G254" s="5"/>
    </row>
    <row r="256" spans="1:7" x14ac:dyDescent="0.2">
      <c r="C256" s="12"/>
      <c r="D256" s="23"/>
      <c r="F256" s="12"/>
      <c r="G256" s="13"/>
    </row>
    <row r="257" spans="1:7" x14ac:dyDescent="0.2"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x14ac:dyDescent="0.2">
      <c r="C259" s="12"/>
      <c r="D259" s="23"/>
      <c r="F259" s="12"/>
      <c r="G259" s="13"/>
    </row>
    <row r="260" spans="1:7" x14ac:dyDescent="0.2">
      <c r="C260" s="12"/>
      <c r="D260" s="23"/>
      <c r="F260" s="12"/>
      <c r="G260" s="13"/>
    </row>
    <row r="261" spans="1:7" x14ac:dyDescent="0.2">
      <c r="C261" s="12"/>
      <c r="D261" s="23"/>
      <c r="F261" s="12"/>
      <c r="G261" s="13"/>
    </row>
    <row r="262" spans="1:7" x14ac:dyDescent="0.2">
      <c r="B262" s="10"/>
      <c r="C262" s="16"/>
      <c r="D262" s="25"/>
      <c r="E262" s="10"/>
      <c r="F262" s="16"/>
      <c r="G262" s="17"/>
    </row>
    <row r="263" spans="1:7" ht="15.75" x14ac:dyDescent="0.25">
      <c r="A263" s="15"/>
      <c r="C263" s="12"/>
      <c r="D263" s="23"/>
      <c r="F263" s="12"/>
      <c r="G263" s="13"/>
    </row>
    <row r="264" spans="1:7" ht="15.75" x14ac:dyDescent="0.25">
      <c r="A264" s="6"/>
      <c r="C264" s="12"/>
      <c r="D264" s="23"/>
      <c r="F264" s="12"/>
      <c r="G264" s="13"/>
    </row>
    <row r="265" spans="1:7" ht="15.75" x14ac:dyDescent="0.25">
      <c r="A265" s="8"/>
      <c r="C265" s="12"/>
      <c r="D265" s="23"/>
      <c r="F265" s="12"/>
      <c r="G265" s="13"/>
    </row>
    <row r="266" spans="1:7" x14ac:dyDescent="0.2">
      <c r="C266" s="12"/>
      <c r="D266" s="23"/>
      <c r="F266" s="12"/>
      <c r="G266" s="13"/>
    </row>
    <row r="267" spans="1:7" x14ac:dyDescent="0.2">
      <c r="A267" s="10"/>
      <c r="C267" s="12"/>
      <c r="D267" s="23"/>
      <c r="F267" s="12"/>
      <c r="G267" s="13"/>
    </row>
    <row r="268" spans="1:7" x14ac:dyDescent="0.2">
      <c r="C268" s="12"/>
      <c r="D268" s="23"/>
      <c r="F268" s="12"/>
      <c r="G268" s="13"/>
    </row>
    <row r="269" spans="1:7" x14ac:dyDescent="0.2">
      <c r="A269" s="10"/>
      <c r="C269" s="12"/>
      <c r="D269" s="23"/>
      <c r="F269" s="12"/>
      <c r="G269" s="13"/>
    </row>
    <row r="270" spans="1:7" x14ac:dyDescent="0.2">
      <c r="C270" s="12"/>
      <c r="D270" s="23"/>
      <c r="F270" s="12"/>
      <c r="G270" s="13"/>
    </row>
    <row r="271" spans="1:7" ht="15.75" x14ac:dyDescent="0.25">
      <c r="A271" s="15"/>
      <c r="C271" s="12"/>
      <c r="D271" s="23"/>
      <c r="F271" s="12"/>
      <c r="G271" s="13"/>
    </row>
    <row r="272" spans="1:7" ht="15.75" x14ac:dyDescent="0.25">
      <c r="A272" s="15"/>
      <c r="C272" s="12"/>
      <c r="D272" s="23"/>
      <c r="F272" s="12"/>
      <c r="G272" s="13"/>
    </row>
    <row r="273" spans="1:7" ht="15.75" x14ac:dyDescent="0.25">
      <c r="A273" s="15"/>
      <c r="C273" s="12"/>
      <c r="F273" s="12"/>
    </row>
    <row r="274" spans="1:7" x14ac:dyDescent="0.2">
      <c r="C274" s="12"/>
      <c r="F274" s="12"/>
    </row>
    <row r="275" spans="1:7" x14ac:dyDescent="0.2">
      <c r="C275" s="12"/>
      <c r="F275" s="12"/>
    </row>
    <row r="276" spans="1:7" x14ac:dyDescent="0.2">
      <c r="C276" s="12"/>
      <c r="D276" s="23"/>
      <c r="F276" s="12"/>
      <c r="G276" s="13"/>
    </row>
    <row r="277" spans="1:7" x14ac:dyDescent="0.2">
      <c r="B277" s="10"/>
      <c r="C277" s="16"/>
      <c r="D277" s="25"/>
      <c r="E277" s="10"/>
      <c r="F277" s="16"/>
      <c r="G277" s="17"/>
    </row>
    <row r="278" spans="1:7" ht="15.75" x14ac:dyDescent="0.25">
      <c r="A278" s="6"/>
      <c r="C278" s="12"/>
      <c r="D278" s="23"/>
      <c r="F278" s="12"/>
      <c r="G278" s="13"/>
    </row>
    <row r="279" spans="1:7" x14ac:dyDescent="0.2">
      <c r="B279" s="10"/>
      <c r="C279" s="16"/>
      <c r="D279" s="25"/>
      <c r="E279" s="10"/>
      <c r="F279" s="16"/>
      <c r="G279" s="17"/>
    </row>
    <row r="280" spans="1:7" ht="15.75" x14ac:dyDescent="0.25">
      <c r="A280" s="6"/>
      <c r="C280" s="12"/>
      <c r="D280" s="23"/>
      <c r="F280" s="12"/>
      <c r="G280" s="13"/>
    </row>
    <row r="281" spans="1:7" ht="15.75" x14ac:dyDescent="0.25">
      <c r="A281" s="6"/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5"/>
      <c r="E291" s="5"/>
    </row>
    <row r="292" spans="2:7" x14ac:dyDescent="0.2">
      <c r="B292" s="5"/>
      <c r="C292" s="5"/>
      <c r="D292" s="24"/>
      <c r="E292" s="5"/>
      <c r="F292" s="5"/>
      <c r="G292" s="5"/>
    </row>
    <row r="293" spans="2:7" x14ac:dyDescent="0.2">
      <c r="D293" s="24"/>
      <c r="G293" s="5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B301" s="10"/>
      <c r="C301" s="16"/>
      <c r="D301" s="26"/>
      <c r="E301" s="10"/>
      <c r="F301" s="16"/>
      <c r="G301" s="10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B316" s="10"/>
      <c r="C316" s="16"/>
      <c r="D316" s="26"/>
      <c r="E316" s="10"/>
      <c r="F316" s="16"/>
      <c r="G316" s="10"/>
    </row>
    <row r="317" spans="2:7" x14ac:dyDescent="0.2">
      <c r="C317" s="12"/>
      <c r="F317" s="12"/>
    </row>
    <row r="318" spans="2:7" x14ac:dyDescent="0.2">
      <c r="B318" s="10"/>
      <c r="C318" s="16"/>
      <c r="D318" s="27"/>
      <c r="E318" s="10"/>
      <c r="F318" s="16"/>
      <c r="G318" s="18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29" spans="3:7" x14ac:dyDescent="0.2">
      <c r="C329" s="12"/>
      <c r="F329" s="12"/>
    </row>
    <row r="334" spans="3:7" x14ac:dyDescent="0.2">
      <c r="D334" s="28"/>
      <c r="G334" s="12"/>
    </row>
    <row r="335" spans="3:7" x14ac:dyDescent="0.2">
      <c r="D335" s="28"/>
      <c r="G335" s="12"/>
    </row>
    <row r="336" spans="3:7" x14ac:dyDescent="0.2">
      <c r="D336" s="28"/>
      <c r="G336" s="12"/>
    </row>
    <row r="337" spans="4:7" x14ac:dyDescent="0.2">
      <c r="D337" s="28"/>
      <c r="G337" s="12"/>
    </row>
    <row r="338" spans="4:7" x14ac:dyDescent="0.2">
      <c r="D338" s="28"/>
      <c r="G338" s="12"/>
    </row>
    <row r="339" spans="4:7" x14ac:dyDescent="0.2">
      <c r="D339" s="28"/>
      <c r="G339" s="12"/>
    </row>
    <row r="340" spans="4:7" x14ac:dyDescent="0.2">
      <c r="D340" s="28"/>
      <c r="G340" s="12"/>
    </row>
    <row r="341" spans="4:7" x14ac:dyDescent="0.2">
      <c r="D341" s="28"/>
      <c r="G341" s="12"/>
    </row>
    <row r="342" spans="4:7" x14ac:dyDescent="0.2">
      <c r="D342" s="28"/>
      <c r="G342" s="12"/>
    </row>
    <row r="343" spans="4:7" x14ac:dyDescent="0.2">
      <c r="D343" s="28"/>
      <c r="G343" s="12"/>
    </row>
    <row r="344" spans="4:7" x14ac:dyDescent="0.2">
      <c r="D344" s="28"/>
      <c r="G344" s="12"/>
    </row>
    <row r="345" spans="4:7" x14ac:dyDescent="0.2">
      <c r="D345" s="28"/>
      <c r="G345" s="12"/>
    </row>
    <row r="346" spans="4:7" x14ac:dyDescent="0.2">
      <c r="D346" s="28"/>
      <c r="G346" s="12"/>
    </row>
  </sheetData>
  <mergeCells count="5">
    <mergeCell ref="A85:I85"/>
    <mergeCell ref="A2:A3"/>
    <mergeCell ref="B2:G2"/>
    <mergeCell ref="B82:C82"/>
    <mergeCell ref="A84:I84"/>
  </mergeCells>
  <phoneticPr fontId="15" type="noConversion"/>
  <pageMargins left="0.74" right="0.55000000000000004" top="0.79" bottom="1" header="0.31" footer="1"/>
  <pageSetup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opLeftCell="A25" zoomScale="90" zoomScaleNormal="90" workbookViewId="0">
      <selection activeCell="V25" sqref="V25"/>
    </sheetView>
  </sheetViews>
  <sheetFormatPr defaultRowHeight="12.75" x14ac:dyDescent="0.2"/>
  <cols>
    <col min="1" max="1" width="55.6640625" customWidth="1"/>
    <col min="2" max="5" width="10.6640625" bestFit="1" customWidth="1"/>
    <col min="6" max="6" width="10.5" customWidth="1"/>
    <col min="7" max="7" width="10.6640625" bestFit="1" customWidth="1"/>
    <col min="8" max="8" width="12.33203125" bestFit="1" customWidth="1"/>
    <col min="9" max="9" width="25" customWidth="1"/>
  </cols>
  <sheetData>
    <row r="1" spans="1:9" ht="20.25" x14ac:dyDescent="0.3">
      <c r="A1" s="97" t="s">
        <v>76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s="191" customFormat="1" ht="16.5" x14ac:dyDescent="0.25">
      <c r="A4" s="32" t="s">
        <v>48</v>
      </c>
      <c r="B4" s="46">
        <f t="shared" ref="B4:G4" si="0">SUM(B5:B8)</f>
        <v>1649</v>
      </c>
      <c r="C4" s="47">
        <f t="shared" si="0"/>
        <v>1417</v>
      </c>
      <c r="D4" s="48">
        <f t="shared" si="0"/>
        <v>4083</v>
      </c>
      <c r="E4" s="47">
        <f t="shared" si="0"/>
        <v>2650</v>
      </c>
      <c r="F4" s="48">
        <f t="shared" si="0"/>
        <v>609</v>
      </c>
      <c r="G4" s="49">
        <f t="shared" si="0"/>
        <v>373</v>
      </c>
      <c r="H4" s="200">
        <f>SUM(B4:G4)</f>
        <v>10781</v>
      </c>
      <c r="I4" s="197">
        <f>H4/B$69 * 100000</f>
        <v>391.3605195972483</v>
      </c>
    </row>
    <row r="5" spans="1:9" ht="16.5" x14ac:dyDescent="0.25">
      <c r="A5" s="159" t="s">
        <v>17</v>
      </c>
      <c r="B5" s="174">
        <v>1564</v>
      </c>
      <c r="C5" s="174">
        <v>1299</v>
      </c>
      <c r="D5" s="174">
        <v>3773</v>
      </c>
      <c r="E5" s="174">
        <v>2518</v>
      </c>
      <c r="F5" s="174">
        <v>598</v>
      </c>
      <c r="G5" s="174">
        <v>369</v>
      </c>
      <c r="H5" s="201">
        <f t="shared" ref="H5:H66" si="1">SUM(B5:G5)</f>
        <v>10121</v>
      </c>
      <c r="I5" s="198">
        <f t="shared" ref="I5:I68" si="2">H5/B$69 * 100000</f>
        <v>367.40189396565711</v>
      </c>
    </row>
    <row r="6" spans="1:9" ht="16.5" x14ac:dyDescent="0.25">
      <c r="A6" s="159" t="s">
        <v>18</v>
      </c>
      <c r="B6" s="174">
        <v>68</v>
      </c>
      <c r="C6" s="174">
        <v>36</v>
      </c>
      <c r="D6" s="174">
        <v>78</v>
      </c>
      <c r="E6" s="174">
        <v>43</v>
      </c>
      <c r="F6" s="174">
        <v>0</v>
      </c>
      <c r="G6" s="174">
        <v>2</v>
      </c>
      <c r="H6" s="201">
        <f t="shared" si="1"/>
        <v>227</v>
      </c>
      <c r="I6" s="198">
        <f t="shared" si="2"/>
        <v>8.2403151793502776</v>
      </c>
    </row>
    <row r="7" spans="1:9" ht="16.5" x14ac:dyDescent="0.25">
      <c r="A7" s="159" t="s">
        <v>19</v>
      </c>
      <c r="B7" s="174">
        <v>13</v>
      </c>
      <c r="C7" s="174">
        <v>76</v>
      </c>
      <c r="D7" s="174">
        <v>213</v>
      </c>
      <c r="E7" s="174">
        <v>75</v>
      </c>
      <c r="F7" s="174">
        <v>9</v>
      </c>
      <c r="G7" s="174">
        <v>1</v>
      </c>
      <c r="H7" s="201">
        <f t="shared" si="1"/>
        <v>387</v>
      </c>
      <c r="I7" s="198">
        <f t="shared" si="2"/>
        <v>14.04846684761479</v>
      </c>
    </row>
    <row r="8" spans="1:9" ht="16.5" x14ac:dyDescent="0.25">
      <c r="A8" s="159" t="s">
        <v>58</v>
      </c>
      <c r="B8" s="174">
        <v>4</v>
      </c>
      <c r="C8" s="174">
        <v>6</v>
      </c>
      <c r="D8" s="174">
        <v>19</v>
      </c>
      <c r="E8" s="174">
        <v>14</v>
      </c>
      <c r="F8" s="174">
        <v>2</v>
      </c>
      <c r="G8" s="174">
        <v>1</v>
      </c>
      <c r="H8" s="201">
        <f t="shared" si="1"/>
        <v>46</v>
      </c>
      <c r="I8" s="198">
        <f t="shared" si="2"/>
        <v>1.6698436046260474</v>
      </c>
    </row>
    <row r="9" spans="1:9" s="191" customFormat="1" ht="16.5" x14ac:dyDescent="0.25">
      <c r="A9" s="32" t="s">
        <v>60</v>
      </c>
      <c r="B9" s="175">
        <f t="shared" ref="B9:G9" si="3">SUM(B10:B13)</f>
        <v>77</v>
      </c>
      <c r="C9" s="175">
        <f t="shared" si="3"/>
        <v>14</v>
      </c>
      <c r="D9" s="175">
        <f t="shared" si="3"/>
        <v>29</v>
      </c>
      <c r="E9" s="175">
        <f t="shared" si="3"/>
        <v>15</v>
      </c>
      <c r="F9" s="175">
        <f t="shared" si="3"/>
        <v>4</v>
      </c>
      <c r="G9" s="175">
        <f t="shared" si="3"/>
        <v>1</v>
      </c>
      <c r="H9" s="200">
        <f t="shared" si="1"/>
        <v>140</v>
      </c>
      <c r="I9" s="197">
        <f t="shared" si="2"/>
        <v>5.0821327097314493</v>
      </c>
    </row>
    <row r="10" spans="1:9" ht="16.5" x14ac:dyDescent="0.25">
      <c r="A10" s="159" t="s">
        <v>17</v>
      </c>
      <c r="B10" s="174">
        <v>15</v>
      </c>
      <c r="C10" s="174">
        <v>12</v>
      </c>
      <c r="D10" s="174">
        <v>25</v>
      </c>
      <c r="E10" s="174">
        <v>11</v>
      </c>
      <c r="F10" s="174">
        <v>3</v>
      </c>
      <c r="G10" s="174">
        <v>1</v>
      </c>
      <c r="H10" s="201">
        <f t="shared" si="1"/>
        <v>67</v>
      </c>
      <c r="I10" s="198">
        <f t="shared" si="2"/>
        <v>2.4321635110857649</v>
      </c>
    </row>
    <row r="11" spans="1:9" ht="16.5" x14ac:dyDescent="0.25">
      <c r="A11" s="159" t="s">
        <v>18</v>
      </c>
      <c r="B11" s="174">
        <v>1</v>
      </c>
      <c r="C11" s="174">
        <v>0</v>
      </c>
      <c r="D11" s="174">
        <v>1</v>
      </c>
      <c r="E11" s="174">
        <v>0</v>
      </c>
      <c r="F11" s="174">
        <v>0</v>
      </c>
      <c r="G11" s="174">
        <v>0</v>
      </c>
      <c r="H11" s="201">
        <f>SUM(B11:G11)</f>
        <v>2</v>
      </c>
      <c r="I11" s="199">
        <f t="shared" si="2"/>
        <v>7.2601895853306411E-2</v>
      </c>
    </row>
    <row r="12" spans="1:9" ht="16.5" x14ac:dyDescent="0.25">
      <c r="A12" s="159" t="s">
        <v>19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201">
        <f>SUM(B12:G12)</f>
        <v>0</v>
      </c>
      <c r="I12" s="198">
        <f t="shared" si="2"/>
        <v>0</v>
      </c>
    </row>
    <row r="13" spans="1:9" ht="16.5" x14ac:dyDescent="0.25">
      <c r="A13" s="159" t="s">
        <v>58</v>
      </c>
      <c r="B13" s="174">
        <v>61</v>
      </c>
      <c r="C13" s="174">
        <v>2</v>
      </c>
      <c r="D13" s="174">
        <v>3</v>
      </c>
      <c r="E13" s="174">
        <v>4</v>
      </c>
      <c r="F13" s="174">
        <v>1</v>
      </c>
      <c r="G13" s="174">
        <v>0</v>
      </c>
      <c r="H13" s="201">
        <f>SUM(B13:G13)</f>
        <v>71</v>
      </c>
      <c r="I13" s="198">
        <f t="shared" si="2"/>
        <v>2.577367302792378</v>
      </c>
    </row>
    <row r="14" spans="1:9" s="191" customFormat="1" ht="16.5" x14ac:dyDescent="0.25">
      <c r="A14" s="32" t="s">
        <v>49</v>
      </c>
      <c r="B14" s="175">
        <f t="shared" ref="B14:G14" si="4">SUM(B15:B18)</f>
        <v>20084</v>
      </c>
      <c r="C14" s="175">
        <f t="shared" si="4"/>
        <v>2558</v>
      </c>
      <c r="D14" s="175">
        <f t="shared" si="4"/>
        <v>7584</v>
      </c>
      <c r="E14" s="175">
        <f t="shared" si="4"/>
        <v>11683</v>
      </c>
      <c r="F14" s="175">
        <f t="shared" si="4"/>
        <v>5810</v>
      </c>
      <c r="G14" s="175">
        <f t="shared" si="4"/>
        <v>10628</v>
      </c>
      <c r="H14" s="200">
        <f t="shared" si="1"/>
        <v>58347</v>
      </c>
      <c r="I14" s="197">
        <f t="shared" si="2"/>
        <v>2118.0514086764347</v>
      </c>
    </row>
    <row r="15" spans="1:9" ht="16.5" x14ac:dyDescent="0.25">
      <c r="A15" s="159" t="s">
        <v>17</v>
      </c>
      <c r="B15" s="174">
        <v>20081</v>
      </c>
      <c r="C15" s="174">
        <v>2555</v>
      </c>
      <c r="D15" s="174">
        <v>7576</v>
      </c>
      <c r="E15" s="174">
        <v>11678</v>
      </c>
      <c r="F15" s="174">
        <v>5809</v>
      </c>
      <c r="G15" s="174">
        <v>10627</v>
      </c>
      <c r="H15" s="201">
        <f t="shared" si="1"/>
        <v>58326</v>
      </c>
      <c r="I15" s="198">
        <f t="shared" si="2"/>
        <v>2117.289088769975</v>
      </c>
    </row>
    <row r="16" spans="1:9" ht="16.5" x14ac:dyDescent="0.25">
      <c r="A16" s="159" t="s">
        <v>18</v>
      </c>
      <c r="B16" s="174">
        <v>0</v>
      </c>
      <c r="C16" s="174">
        <v>2</v>
      </c>
      <c r="D16" s="174">
        <v>5</v>
      </c>
      <c r="E16" s="174">
        <v>2</v>
      </c>
      <c r="F16" s="174">
        <v>0</v>
      </c>
      <c r="G16" s="174">
        <v>0</v>
      </c>
      <c r="H16" s="201">
        <f t="shared" si="1"/>
        <v>9</v>
      </c>
      <c r="I16" s="199">
        <f t="shared" si="2"/>
        <v>0.32670853133987887</v>
      </c>
    </row>
    <row r="17" spans="1:9" ht="16.5" x14ac:dyDescent="0.25">
      <c r="A17" s="159" t="s">
        <v>19</v>
      </c>
      <c r="B17" s="174">
        <v>1</v>
      </c>
      <c r="C17" s="174">
        <v>1</v>
      </c>
      <c r="D17" s="174">
        <v>1</v>
      </c>
      <c r="E17" s="174">
        <v>0</v>
      </c>
      <c r="F17" s="174">
        <v>0</v>
      </c>
      <c r="G17" s="174">
        <v>0</v>
      </c>
      <c r="H17" s="201">
        <f>SUM(B17:G17)</f>
        <v>3</v>
      </c>
      <c r="I17" s="199">
        <f t="shared" si="2"/>
        <v>0.10890284377995964</v>
      </c>
    </row>
    <row r="18" spans="1:9" ht="16.5" x14ac:dyDescent="0.25">
      <c r="A18" s="159" t="s">
        <v>58</v>
      </c>
      <c r="B18" s="174">
        <v>2</v>
      </c>
      <c r="C18" s="174">
        <v>0</v>
      </c>
      <c r="D18" s="174">
        <v>2</v>
      </c>
      <c r="E18" s="174">
        <v>3</v>
      </c>
      <c r="F18" s="174">
        <v>1</v>
      </c>
      <c r="G18" s="174">
        <v>1</v>
      </c>
      <c r="H18" s="201">
        <f>SUM(B18:G18)</f>
        <v>9</v>
      </c>
      <c r="I18" s="199">
        <f t="shared" si="2"/>
        <v>0.32670853133987887</v>
      </c>
    </row>
    <row r="19" spans="1:9" s="191" customFormat="1" ht="16.5" x14ac:dyDescent="0.25">
      <c r="A19" s="162" t="s">
        <v>50</v>
      </c>
      <c r="B19" s="175">
        <f t="shared" ref="B19:G19" si="5">SUM(B20:B23)</f>
        <v>112</v>
      </c>
      <c r="C19" s="175">
        <f t="shared" si="5"/>
        <v>60</v>
      </c>
      <c r="D19" s="175">
        <f t="shared" si="5"/>
        <v>157</v>
      </c>
      <c r="E19" s="175">
        <f t="shared" si="5"/>
        <v>115</v>
      </c>
      <c r="F19" s="175">
        <f t="shared" si="5"/>
        <v>27</v>
      </c>
      <c r="G19" s="175">
        <f t="shared" si="5"/>
        <v>22</v>
      </c>
      <c r="H19" s="200">
        <f t="shared" si="1"/>
        <v>493</v>
      </c>
      <c r="I19" s="197">
        <f t="shared" si="2"/>
        <v>17.896367327840032</v>
      </c>
    </row>
    <row r="20" spans="1:9" ht="16.5" x14ac:dyDescent="0.25">
      <c r="A20" s="159" t="s">
        <v>17</v>
      </c>
      <c r="B20" s="174">
        <v>110</v>
      </c>
      <c r="C20" s="174">
        <v>59</v>
      </c>
      <c r="D20" s="174">
        <v>156</v>
      </c>
      <c r="E20" s="174">
        <v>114</v>
      </c>
      <c r="F20" s="174">
        <v>27</v>
      </c>
      <c r="G20" s="174">
        <v>22</v>
      </c>
      <c r="H20" s="201">
        <f t="shared" si="1"/>
        <v>488</v>
      </c>
      <c r="I20" s="198">
        <f t="shared" si="2"/>
        <v>17.714862588206767</v>
      </c>
    </row>
    <row r="21" spans="1:9" ht="16.5" x14ac:dyDescent="0.25">
      <c r="A21" s="159" t="s">
        <v>18</v>
      </c>
      <c r="B21" s="174">
        <v>0</v>
      </c>
      <c r="C21" s="174">
        <v>1</v>
      </c>
      <c r="D21" s="174">
        <v>0</v>
      </c>
      <c r="E21" s="174">
        <v>1</v>
      </c>
      <c r="F21" s="174">
        <v>0</v>
      </c>
      <c r="G21" s="174">
        <v>0</v>
      </c>
      <c r="H21" s="201">
        <f t="shared" si="1"/>
        <v>2</v>
      </c>
      <c r="I21" s="199">
        <f t="shared" si="2"/>
        <v>7.2601895853306411E-2</v>
      </c>
    </row>
    <row r="22" spans="1:9" ht="16.5" x14ac:dyDescent="0.25">
      <c r="A22" s="159" t="s">
        <v>19</v>
      </c>
      <c r="B22" s="174">
        <v>1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201">
        <f t="shared" si="1"/>
        <v>1</v>
      </c>
      <c r="I22" s="199">
        <f t="shared" si="2"/>
        <v>3.6300947926653206E-2</v>
      </c>
    </row>
    <row r="23" spans="1:9" ht="16.5" x14ac:dyDescent="0.25">
      <c r="A23" s="159" t="s">
        <v>58</v>
      </c>
      <c r="B23" s="174">
        <v>1</v>
      </c>
      <c r="C23" s="174">
        <v>0</v>
      </c>
      <c r="D23" s="174">
        <v>1</v>
      </c>
      <c r="E23" s="174">
        <v>0</v>
      </c>
      <c r="F23" s="174">
        <v>0</v>
      </c>
      <c r="G23" s="174">
        <v>0</v>
      </c>
      <c r="H23" s="201">
        <f t="shared" si="1"/>
        <v>2</v>
      </c>
      <c r="I23" s="199">
        <f t="shared" si="2"/>
        <v>7.2601895853306411E-2</v>
      </c>
    </row>
    <row r="24" spans="1:9" s="191" customFormat="1" ht="16.5" x14ac:dyDescent="0.25">
      <c r="A24" s="162" t="s">
        <v>51</v>
      </c>
      <c r="B24" s="175">
        <f t="shared" ref="B24:G24" si="6">SUM(B25:B28)</f>
        <v>634</v>
      </c>
      <c r="C24" s="175">
        <f t="shared" si="6"/>
        <v>193</v>
      </c>
      <c r="D24" s="175">
        <f t="shared" si="6"/>
        <v>546</v>
      </c>
      <c r="E24" s="175">
        <f t="shared" si="6"/>
        <v>419</v>
      </c>
      <c r="F24" s="175">
        <f t="shared" si="6"/>
        <v>104</v>
      </c>
      <c r="G24" s="175">
        <f t="shared" si="6"/>
        <v>70</v>
      </c>
      <c r="H24" s="200">
        <f t="shared" si="1"/>
        <v>1966</v>
      </c>
      <c r="I24" s="197">
        <f t="shared" si="2"/>
        <v>71.367663623800212</v>
      </c>
    </row>
    <row r="25" spans="1:9" ht="16.5" x14ac:dyDescent="0.25">
      <c r="A25" s="159" t="s">
        <v>17</v>
      </c>
      <c r="B25" s="174">
        <v>617</v>
      </c>
      <c r="C25" s="174">
        <v>186</v>
      </c>
      <c r="D25" s="174">
        <v>521</v>
      </c>
      <c r="E25" s="174">
        <v>407</v>
      </c>
      <c r="F25" s="174">
        <v>101</v>
      </c>
      <c r="G25" s="174">
        <v>69</v>
      </c>
      <c r="H25" s="201">
        <f>SUM(B25:G25)</f>
        <v>1901</v>
      </c>
      <c r="I25" s="198">
        <f t="shared" si="2"/>
        <v>69.008102008567747</v>
      </c>
    </row>
    <row r="26" spans="1:9" ht="16.5" x14ac:dyDescent="0.25">
      <c r="A26" s="159" t="s">
        <v>18</v>
      </c>
      <c r="B26" s="174">
        <v>1</v>
      </c>
      <c r="C26" s="174">
        <v>0</v>
      </c>
      <c r="D26" s="174">
        <v>3</v>
      </c>
      <c r="E26" s="174">
        <v>1</v>
      </c>
      <c r="F26" s="174">
        <v>0</v>
      </c>
      <c r="G26" s="174">
        <v>0</v>
      </c>
      <c r="H26" s="201">
        <f>SUM(B26:G26)</f>
        <v>5</v>
      </c>
      <c r="I26" s="199">
        <f t="shared" si="2"/>
        <v>0.18150473963326605</v>
      </c>
    </row>
    <row r="27" spans="1:9" ht="16.5" x14ac:dyDescent="0.25">
      <c r="A27" s="159" t="s">
        <v>19</v>
      </c>
      <c r="B27" s="174">
        <v>0</v>
      </c>
      <c r="C27" s="174">
        <v>1</v>
      </c>
      <c r="D27" s="174">
        <v>2</v>
      </c>
      <c r="E27" s="174">
        <v>1</v>
      </c>
      <c r="F27" s="174">
        <v>0</v>
      </c>
      <c r="G27" s="174">
        <v>0</v>
      </c>
      <c r="H27" s="201">
        <f>SUM(B27:G27)</f>
        <v>4</v>
      </c>
      <c r="I27" s="199">
        <f t="shared" si="2"/>
        <v>0.14520379170661282</v>
      </c>
    </row>
    <row r="28" spans="1:9" ht="16.5" x14ac:dyDescent="0.25">
      <c r="A28" s="159" t="s">
        <v>58</v>
      </c>
      <c r="B28" s="174">
        <v>16</v>
      </c>
      <c r="C28" s="174">
        <v>6</v>
      </c>
      <c r="D28" s="174">
        <v>20</v>
      </c>
      <c r="E28" s="174">
        <v>10</v>
      </c>
      <c r="F28" s="174">
        <v>3</v>
      </c>
      <c r="G28" s="174">
        <v>1</v>
      </c>
      <c r="H28" s="201">
        <f t="shared" si="1"/>
        <v>56</v>
      </c>
      <c r="I28" s="198">
        <f t="shared" si="2"/>
        <v>2.0328530838925798</v>
      </c>
    </row>
    <row r="29" spans="1:9" s="191" customFormat="1" ht="16.5" x14ac:dyDescent="0.25">
      <c r="A29" s="32" t="s">
        <v>52</v>
      </c>
      <c r="B29" s="175">
        <f t="shared" ref="B29:G29" si="7">SUM(B30:B33)</f>
        <v>59</v>
      </c>
      <c r="C29" s="175">
        <f t="shared" si="7"/>
        <v>182</v>
      </c>
      <c r="D29" s="175">
        <f t="shared" si="7"/>
        <v>193</v>
      </c>
      <c r="E29" s="175">
        <f t="shared" si="7"/>
        <v>63</v>
      </c>
      <c r="F29" s="175">
        <f t="shared" si="7"/>
        <v>4</v>
      </c>
      <c r="G29" s="175">
        <f t="shared" si="7"/>
        <v>2</v>
      </c>
      <c r="H29" s="200">
        <f t="shared" si="1"/>
        <v>503</v>
      </c>
      <c r="I29" s="197">
        <f t="shared" si="2"/>
        <v>18.259376807106566</v>
      </c>
    </row>
    <row r="30" spans="1:9" ht="16.5" x14ac:dyDescent="0.25">
      <c r="A30" s="159" t="s">
        <v>17</v>
      </c>
      <c r="B30" s="174">
        <v>40</v>
      </c>
      <c r="C30" s="174">
        <v>111</v>
      </c>
      <c r="D30" s="174">
        <v>133</v>
      </c>
      <c r="E30" s="174">
        <v>44</v>
      </c>
      <c r="F30" s="174">
        <v>3</v>
      </c>
      <c r="G30" s="174">
        <v>0</v>
      </c>
      <c r="H30" s="201">
        <f t="shared" si="1"/>
        <v>331</v>
      </c>
      <c r="I30" s="198">
        <f t="shared" si="2"/>
        <v>12.015613763722211</v>
      </c>
    </row>
    <row r="31" spans="1:9" ht="16.5" x14ac:dyDescent="0.25">
      <c r="A31" s="159" t="s">
        <v>18</v>
      </c>
      <c r="B31" s="174">
        <v>0</v>
      </c>
      <c r="C31" s="174">
        <v>2</v>
      </c>
      <c r="D31" s="174">
        <v>4</v>
      </c>
      <c r="E31" s="174">
        <v>3</v>
      </c>
      <c r="F31" s="174">
        <v>0</v>
      </c>
      <c r="G31" s="174">
        <v>0</v>
      </c>
      <c r="H31" s="201">
        <f t="shared" si="1"/>
        <v>9</v>
      </c>
      <c r="I31" s="199">
        <f t="shared" si="2"/>
        <v>0.32670853133987887</v>
      </c>
    </row>
    <row r="32" spans="1:9" ht="16.5" x14ac:dyDescent="0.25">
      <c r="A32" s="159" t="s">
        <v>19</v>
      </c>
      <c r="B32" s="174">
        <v>15</v>
      </c>
      <c r="C32" s="174">
        <v>62</v>
      </c>
      <c r="D32" s="174">
        <v>45</v>
      </c>
      <c r="E32" s="174">
        <v>14</v>
      </c>
      <c r="F32" s="174">
        <v>1</v>
      </c>
      <c r="G32" s="174">
        <v>1</v>
      </c>
      <c r="H32" s="201">
        <f t="shared" si="1"/>
        <v>138</v>
      </c>
      <c r="I32" s="198">
        <f t="shared" si="2"/>
        <v>5.0095308138781425</v>
      </c>
    </row>
    <row r="33" spans="1:9" ht="16.5" x14ac:dyDescent="0.25">
      <c r="A33" s="160" t="s">
        <v>58</v>
      </c>
      <c r="B33" s="174">
        <v>4</v>
      </c>
      <c r="C33" s="174">
        <v>7</v>
      </c>
      <c r="D33" s="174">
        <v>11</v>
      </c>
      <c r="E33" s="174">
        <v>2</v>
      </c>
      <c r="F33" s="174">
        <v>0</v>
      </c>
      <c r="G33" s="174">
        <v>1</v>
      </c>
      <c r="H33" s="201">
        <f t="shared" si="1"/>
        <v>25</v>
      </c>
      <c r="I33" s="198">
        <f t="shared" si="2"/>
        <v>0.90752369816633027</v>
      </c>
    </row>
    <row r="34" spans="1:9" s="191" customFormat="1" ht="16.5" x14ac:dyDescent="0.25">
      <c r="A34" s="39" t="s">
        <v>12</v>
      </c>
      <c r="B34" s="190">
        <v>21</v>
      </c>
      <c r="C34" s="190">
        <v>47</v>
      </c>
      <c r="D34" s="190">
        <v>261</v>
      </c>
      <c r="E34" s="190">
        <v>268</v>
      </c>
      <c r="F34" s="190">
        <v>57</v>
      </c>
      <c r="G34" s="190">
        <v>20</v>
      </c>
      <c r="H34" s="200">
        <f t="shared" si="1"/>
        <v>674</v>
      </c>
      <c r="I34" s="197">
        <f t="shared" si="2"/>
        <v>24.466838902564263</v>
      </c>
    </row>
    <row r="35" spans="1:9" s="191" customFormat="1" ht="16.5" x14ac:dyDescent="0.25">
      <c r="A35" s="32" t="s">
        <v>53</v>
      </c>
      <c r="B35" s="175">
        <f>SUM(B36+B42+B43+B44)</f>
        <v>2545</v>
      </c>
      <c r="C35" s="175">
        <f t="shared" ref="C35:H35" si="8">SUM(C36+C42+C43+C44)</f>
        <v>3980</v>
      </c>
      <c r="D35" s="175">
        <f t="shared" si="8"/>
        <v>8061</v>
      </c>
      <c r="E35" s="175">
        <f t="shared" si="8"/>
        <v>4844</v>
      </c>
      <c r="F35" s="175">
        <f t="shared" si="8"/>
        <v>1128</v>
      </c>
      <c r="G35" s="175">
        <f t="shared" si="8"/>
        <v>674</v>
      </c>
      <c r="H35" s="200">
        <f t="shared" si="8"/>
        <v>21232</v>
      </c>
      <c r="I35" s="197">
        <f t="shared" si="2"/>
        <v>770.74172637870095</v>
      </c>
    </row>
    <row r="36" spans="1:9" ht="16.5" x14ac:dyDescent="0.25">
      <c r="A36" s="159" t="s">
        <v>17</v>
      </c>
      <c r="B36" s="176">
        <f t="shared" ref="B36:G36" si="9">SUM(B37:B41)</f>
        <v>2543</v>
      </c>
      <c r="C36" s="176">
        <f t="shared" si="9"/>
        <v>3979</v>
      </c>
      <c r="D36" s="176">
        <f t="shared" si="9"/>
        <v>8057</v>
      </c>
      <c r="E36" s="176">
        <f t="shared" si="9"/>
        <v>4841</v>
      </c>
      <c r="F36" s="176">
        <f t="shared" si="9"/>
        <v>1127</v>
      </c>
      <c r="G36" s="176">
        <f t="shared" si="9"/>
        <v>674</v>
      </c>
      <c r="H36" s="201">
        <f t="shared" si="1"/>
        <v>21221</v>
      </c>
      <c r="I36" s="198">
        <f t="shared" si="2"/>
        <v>770.34241595150775</v>
      </c>
    </row>
    <row r="37" spans="1:9" ht="16.5" x14ac:dyDescent="0.25">
      <c r="A37" s="159" t="s">
        <v>24</v>
      </c>
      <c r="B37" s="174">
        <v>2192</v>
      </c>
      <c r="C37" s="174">
        <v>3480</v>
      </c>
      <c r="D37" s="174">
        <v>7067</v>
      </c>
      <c r="E37" s="174">
        <v>4219</v>
      </c>
      <c r="F37" s="174">
        <v>974</v>
      </c>
      <c r="G37" s="174">
        <v>612</v>
      </c>
      <c r="H37" s="201">
        <f t="shared" si="1"/>
        <v>18544</v>
      </c>
      <c r="I37" s="198">
        <f t="shared" si="2"/>
        <v>673.16477835185708</v>
      </c>
    </row>
    <row r="38" spans="1:9" ht="16.5" x14ac:dyDescent="0.25">
      <c r="A38" s="159" t="s">
        <v>25</v>
      </c>
      <c r="B38" s="174">
        <v>44</v>
      </c>
      <c r="C38" s="174">
        <v>279</v>
      </c>
      <c r="D38" s="174">
        <v>499</v>
      </c>
      <c r="E38" s="174">
        <v>184</v>
      </c>
      <c r="F38" s="174">
        <v>27</v>
      </c>
      <c r="G38" s="174">
        <v>2</v>
      </c>
      <c r="H38" s="201">
        <f t="shared" si="1"/>
        <v>1035</v>
      </c>
      <c r="I38" s="198">
        <f t="shared" si="2"/>
        <v>37.571481104086068</v>
      </c>
    </row>
    <row r="39" spans="1:9" ht="16.5" x14ac:dyDescent="0.25">
      <c r="A39" s="159" t="s">
        <v>26</v>
      </c>
      <c r="B39" s="174">
        <v>221</v>
      </c>
      <c r="C39" s="174">
        <v>118</v>
      </c>
      <c r="D39" s="174">
        <v>291</v>
      </c>
      <c r="E39" s="174">
        <v>242</v>
      </c>
      <c r="F39" s="174">
        <v>59</v>
      </c>
      <c r="G39" s="174">
        <v>21</v>
      </c>
      <c r="H39" s="201">
        <f t="shared" si="1"/>
        <v>952</v>
      </c>
      <c r="I39" s="198">
        <f t="shared" si="2"/>
        <v>34.558502426173852</v>
      </c>
    </row>
    <row r="40" spans="1:9" ht="16.5" x14ac:dyDescent="0.25">
      <c r="A40" s="159" t="s">
        <v>27</v>
      </c>
      <c r="B40" s="174">
        <v>86</v>
      </c>
      <c r="C40" s="174">
        <v>102</v>
      </c>
      <c r="D40" s="174">
        <v>197</v>
      </c>
      <c r="E40" s="174">
        <v>196</v>
      </c>
      <c r="F40" s="174">
        <v>67</v>
      </c>
      <c r="G40" s="174">
        <v>39</v>
      </c>
      <c r="H40" s="201">
        <f t="shared" si="1"/>
        <v>687</v>
      </c>
      <c r="I40" s="198">
        <f t="shared" si="2"/>
        <v>24.938751225610755</v>
      </c>
    </row>
    <row r="41" spans="1:9" ht="16.5" x14ac:dyDescent="0.25">
      <c r="A41" s="159" t="s">
        <v>28</v>
      </c>
      <c r="B41" s="174">
        <v>0</v>
      </c>
      <c r="C41" s="174">
        <v>0</v>
      </c>
      <c r="D41" s="174">
        <v>3</v>
      </c>
      <c r="E41" s="174">
        <v>0</v>
      </c>
      <c r="F41" s="174">
        <v>0</v>
      </c>
      <c r="G41" s="174">
        <v>0</v>
      </c>
      <c r="H41" s="201">
        <f t="shared" si="1"/>
        <v>3</v>
      </c>
      <c r="I41" s="199">
        <f t="shared" si="2"/>
        <v>0.10890284377995964</v>
      </c>
    </row>
    <row r="42" spans="1:9" ht="16.5" x14ac:dyDescent="0.25">
      <c r="A42" s="159" t="s">
        <v>18</v>
      </c>
      <c r="B42" s="174">
        <v>0</v>
      </c>
      <c r="C42" s="174">
        <v>0</v>
      </c>
      <c r="D42" s="174">
        <v>1</v>
      </c>
      <c r="E42" s="174">
        <v>0</v>
      </c>
      <c r="F42" s="174">
        <v>0</v>
      </c>
      <c r="G42" s="174">
        <v>0</v>
      </c>
      <c r="H42" s="201">
        <f t="shared" si="1"/>
        <v>1</v>
      </c>
      <c r="I42" s="199">
        <f t="shared" si="2"/>
        <v>3.6300947926653206E-2</v>
      </c>
    </row>
    <row r="43" spans="1:9" ht="16.5" x14ac:dyDescent="0.25">
      <c r="A43" s="159" t="s">
        <v>19</v>
      </c>
      <c r="B43" s="174">
        <v>0</v>
      </c>
      <c r="C43" s="174">
        <v>1</v>
      </c>
      <c r="D43" s="174">
        <v>1</v>
      </c>
      <c r="E43" s="174">
        <v>2</v>
      </c>
      <c r="F43" s="174">
        <v>0</v>
      </c>
      <c r="G43" s="174">
        <v>0</v>
      </c>
      <c r="H43" s="201">
        <f>SUM(B43:G43)</f>
        <v>4</v>
      </c>
      <c r="I43" s="199">
        <f t="shared" si="2"/>
        <v>0.14520379170661282</v>
      </c>
    </row>
    <row r="44" spans="1:9" ht="16.5" x14ac:dyDescent="0.25">
      <c r="A44" s="159" t="s">
        <v>58</v>
      </c>
      <c r="B44" s="174">
        <v>2</v>
      </c>
      <c r="C44" s="174">
        <v>0</v>
      </c>
      <c r="D44" s="174">
        <v>2</v>
      </c>
      <c r="E44" s="174">
        <v>1</v>
      </c>
      <c r="F44" s="174">
        <v>1</v>
      </c>
      <c r="G44" s="174">
        <v>0</v>
      </c>
      <c r="H44" s="201">
        <f>SUM(B44:G44)</f>
        <v>6</v>
      </c>
      <c r="I44" s="199">
        <f t="shared" si="2"/>
        <v>0.21780568755991928</v>
      </c>
    </row>
    <row r="45" spans="1:9" s="191" customFormat="1" ht="16.5" x14ac:dyDescent="0.25">
      <c r="A45" s="39" t="s">
        <v>32</v>
      </c>
      <c r="B45" s="190">
        <v>433</v>
      </c>
      <c r="C45" s="190">
        <v>85</v>
      </c>
      <c r="D45" s="190">
        <v>256</v>
      </c>
      <c r="E45" s="190">
        <v>231</v>
      </c>
      <c r="F45" s="190">
        <v>40</v>
      </c>
      <c r="G45" s="190">
        <v>12</v>
      </c>
      <c r="H45" s="200">
        <f t="shared" si="1"/>
        <v>1057</v>
      </c>
      <c r="I45" s="197">
        <f t="shared" si="2"/>
        <v>38.370101958472446</v>
      </c>
    </row>
    <row r="46" spans="1:9" s="191" customFormat="1" ht="16.5" x14ac:dyDescent="0.25">
      <c r="A46" s="39" t="s">
        <v>33</v>
      </c>
      <c r="B46" s="190">
        <v>65</v>
      </c>
      <c r="C46" s="190">
        <v>61</v>
      </c>
      <c r="D46" s="190">
        <v>132</v>
      </c>
      <c r="E46" s="190">
        <v>132</v>
      </c>
      <c r="F46" s="190">
        <v>27</v>
      </c>
      <c r="G46" s="190">
        <v>28</v>
      </c>
      <c r="H46" s="200">
        <f t="shared" si="1"/>
        <v>445</v>
      </c>
      <c r="I46" s="197">
        <f t="shared" si="2"/>
        <v>16.153921827360676</v>
      </c>
    </row>
    <row r="47" spans="1:9" s="191" customFormat="1" ht="16.5" x14ac:dyDescent="0.25">
      <c r="A47" s="32" t="s">
        <v>47</v>
      </c>
      <c r="B47" s="175">
        <f t="shared" ref="B47:G47" si="10">SUM(B48:B51)</f>
        <v>180</v>
      </c>
      <c r="C47" s="175">
        <f t="shared" si="10"/>
        <v>130</v>
      </c>
      <c r="D47" s="175">
        <f t="shared" si="10"/>
        <v>260</v>
      </c>
      <c r="E47" s="175">
        <f t="shared" si="10"/>
        <v>124</v>
      </c>
      <c r="F47" s="175">
        <f t="shared" si="10"/>
        <v>29</v>
      </c>
      <c r="G47" s="175">
        <f t="shared" si="10"/>
        <v>7</v>
      </c>
      <c r="H47" s="200">
        <f t="shared" si="1"/>
        <v>730</v>
      </c>
      <c r="I47" s="197">
        <f t="shared" si="2"/>
        <v>26.499691986456845</v>
      </c>
    </row>
    <row r="48" spans="1:9" ht="16.5" x14ac:dyDescent="0.25">
      <c r="A48" s="159" t="s">
        <v>17</v>
      </c>
      <c r="B48" s="174">
        <v>180</v>
      </c>
      <c r="C48" s="174">
        <v>130</v>
      </c>
      <c r="D48" s="174">
        <v>260</v>
      </c>
      <c r="E48" s="174">
        <v>124</v>
      </c>
      <c r="F48" s="174">
        <v>29</v>
      </c>
      <c r="G48" s="174">
        <v>7</v>
      </c>
      <c r="H48" s="201">
        <f t="shared" si="1"/>
        <v>730</v>
      </c>
      <c r="I48" s="198">
        <f t="shared" si="2"/>
        <v>26.499691986456845</v>
      </c>
    </row>
    <row r="49" spans="1:9" ht="16.5" x14ac:dyDescent="0.25">
      <c r="A49" s="160" t="s">
        <v>18</v>
      </c>
      <c r="B49" s="176">
        <v>0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201">
        <f t="shared" si="1"/>
        <v>0</v>
      </c>
      <c r="I49" s="198">
        <f t="shared" si="2"/>
        <v>0</v>
      </c>
    </row>
    <row r="50" spans="1:9" ht="16.5" x14ac:dyDescent="0.25">
      <c r="A50" s="159" t="s">
        <v>19</v>
      </c>
      <c r="B50" s="176">
        <v>0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201">
        <f t="shared" si="1"/>
        <v>0</v>
      </c>
      <c r="I50" s="198">
        <f t="shared" si="2"/>
        <v>0</v>
      </c>
    </row>
    <row r="51" spans="1:9" ht="16.5" x14ac:dyDescent="0.25">
      <c r="A51" s="159" t="s">
        <v>58</v>
      </c>
      <c r="B51" s="176">
        <v>0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201">
        <f t="shared" si="1"/>
        <v>0</v>
      </c>
      <c r="I51" s="198">
        <f t="shared" si="2"/>
        <v>0</v>
      </c>
    </row>
    <row r="52" spans="1:9" s="191" customFormat="1" ht="16.5" x14ac:dyDescent="0.25">
      <c r="A52" s="45" t="s">
        <v>79</v>
      </c>
      <c r="B52" s="187">
        <v>129</v>
      </c>
      <c r="C52" s="187">
        <v>50</v>
      </c>
      <c r="D52" s="187">
        <v>152</v>
      </c>
      <c r="E52" s="187">
        <v>167</v>
      </c>
      <c r="F52" s="187">
        <v>64</v>
      </c>
      <c r="G52" s="187">
        <v>67</v>
      </c>
      <c r="H52" s="200">
        <v>629</v>
      </c>
      <c r="I52" s="197">
        <f t="shared" si="2"/>
        <v>22.833296245864869</v>
      </c>
    </row>
    <row r="53" spans="1:9" s="191" customFormat="1" ht="16.5" x14ac:dyDescent="0.25">
      <c r="A53" s="39" t="s">
        <v>11</v>
      </c>
      <c r="B53" s="190">
        <v>2942</v>
      </c>
      <c r="C53" s="190">
        <v>1400</v>
      </c>
      <c r="D53" s="190">
        <v>3931</v>
      </c>
      <c r="E53" s="190">
        <v>3085</v>
      </c>
      <c r="F53" s="190">
        <v>613</v>
      </c>
      <c r="G53" s="190">
        <v>383</v>
      </c>
      <c r="H53" s="200">
        <f>SUM(B53:G53)</f>
        <v>12354</v>
      </c>
      <c r="I53" s="197">
        <f t="shared" si="2"/>
        <v>448.46191068587376</v>
      </c>
    </row>
    <row r="54" spans="1:9" s="191" customFormat="1" ht="16.5" x14ac:dyDescent="0.25">
      <c r="A54" s="32" t="s">
        <v>45</v>
      </c>
      <c r="B54" s="175">
        <f t="shared" ref="B54:G54" si="11">SUM(B55:B58)</f>
        <v>1056</v>
      </c>
      <c r="C54" s="175">
        <f t="shared" si="11"/>
        <v>438</v>
      </c>
      <c r="D54" s="175">
        <f t="shared" si="11"/>
        <v>1088</v>
      </c>
      <c r="E54" s="175">
        <f t="shared" si="11"/>
        <v>796</v>
      </c>
      <c r="F54" s="175">
        <f t="shared" si="11"/>
        <v>166</v>
      </c>
      <c r="G54" s="175">
        <f t="shared" si="11"/>
        <v>181</v>
      </c>
      <c r="H54" s="200">
        <f>SUM(B54:G54)</f>
        <v>3725</v>
      </c>
      <c r="I54" s="197">
        <f t="shared" si="2"/>
        <v>135.22103102678321</v>
      </c>
    </row>
    <row r="55" spans="1:9" ht="16.5" x14ac:dyDescent="0.25">
      <c r="A55" s="159" t="s">
        <v>1</v>
      </c>
      <c r="B55" s="174">
        <v>858</v>
      </c>
      <c r="C55" s="174">
        <v>336</v>
      </c>
      <c r="D55" s="174">
        <v>860</v>
      </c>
      <c r="E55" s="174">
        <v>654</v>
      </c>
      <c r="F55" s="174">
        <v>151</v>
      </c>
      <c r="G55" s="174">
        <v>170</v>
      </c>
      <c r="H55" s="201">
        <f t="shared" si="1"/>
        <v>3029</v>
      </c>
      <c r="I55" s="198">
        <f t="shared" si="2"/>
        <v>109.95557126983256</v>
      </c>
    </row>
    <row r="56" spans="1:9" ht="16.5" x14ac:dyDescent="0.25">
      <c r="A56" s="159" t="s">
        <v>22</v>
      </c>
      <c r="B56" s="174">
        <v>174</v>
      </c>
      <c r="C56" s="174">
        <v>90</v>
      </c>
      <c r="D56" s="174">
        <v>184</v>
      </c>
      <c r="E56" s="174">
        <v>117</v>
      </c>
      <c r="F56" s="174">
        <v>11</v>
      </c>
      <c r="G56" s="174">
        <v>8</v>
      </c>
      <c r="H56" s="201">
        <f t="shared" si="1"/>
        <v>584</v>
      </c>
      <c r="I56" s="198">
        <f t="shared" si="2"/>
        <v>21.199753589165475</v>
      </c>
    </row>
    <row r="57" spans="1:9" ht="16.5" x14ac:dyDescent="0.25">
      <c r="A57" s="159" t="s">
        <v>23</v>
      </c>
      <c r="B57" s="174">
        <v>5</v>
      </c>
      <c r="C57" s="174">
        <v>3</v>
      </c>
      <c r="D57" s="174">
        <v>8</v>
      </c>
      <c r="E57" s="174">
        <v>2</v>
      </c>
      <c r="F57" s="174">
        <v>0</v>
      </c>
      <c r="G57" s="174">
        <v>0</v>
      </c>
      <c r="H57" s="201">
        <f>SUM(B57:G57)</f>
        <v>18</v>
      </c>
      <c r="I57" s="199">
        <f t="shared" si="2"/>
        <v>0.65341706267975774</v>
      </c>
    </row>
    <row r="58" spans="1:9" ht="16.5" x14ac:dyDescent="0.25">
      <c r="A58" s="159" t="s">
        <v>59</v>
      </c>
      <c r="B58" s="174">
        <v>19</v>
      </c>
      <c r="C58" s="174">
        <v>9</v>
      </c>
      <c r="D58" s="174">
        <v>36</v>
      </c>
      <c r="E58" s="174">
        <v>23</v>
      </c>
      <c r="F58" s="174">
        <v>4</v>
      </c>
      <c r="G58" s="174">
        <v>3</v>
      </c>
      <c r="H58" s="201">
        <f t="shared" si="1"/>
        <v>94</v>
      </c>
      <c r="I58" s="198">
        <f t="shared" si="2"/>
        <v>3.4122891051054016</v>
      </c>
    </row>
    <row r="59" spans="1:9" s="191" customFormat="1" ht="16.5" x14ac:dyDescent="0.25">
      <c r="A59" s="32" t="s">
        <v>42</v>
      </c>
      <c r="B59" s="175">
        <f t="shared" ref="B59:G59" si="12">SUM(B60:B63)</f>
        <v>8516</v>
      </c>
      <c r="C59" s="175">
        <f t="shared" si="12"/>
        <v>2660</v>
      </c>
      <c r="D59" s="175">
        <f t="shared" si="12"/>
        <v>6033</v>
      </c>
      <c r="E59" s="175">
        <f t="shared" si="12"/>
        <v>3931</v>
      </c>
      <c r="F59" s="175">
        <f t="shared" si="12"/>
        <v>909</v>
      </c>
      <c r="G59" s="175">
        <f t="shared" si="12"/>
        <v>852</v>
      </c>
      <c r="H59" s="200">
        <f t="shared" si="1"/>
        <v>22901</v>
      </c>
      <c r="I59" s="197">
        <f t="shared" si="2"/>
        <v>831.32800846828525</v>
      </c>
    </row>
    <row r="60" spans="1:9" ht="16.5" x14ac:dyDescent="0.25">
      <c r="A60" s="159" t="s">
        <v>1</v>
      </c>
      <c r="B60" s="174">
        <v>8048</v>
      </c>
      <c r="C60" s="174">
        <v>1941</v>
      </c>
      <c r="D60" s="174">
        <v>4420</v>
      </c>
      <c r="E60" s="174">
        <v>3235</v>
      </c>
      <c r="F60" s="174">
        <v>853</v>
      </c>
      <c r="G60" s="174">
        <v>815</v>
      </c>
      <c r="H60" s="201">
        <f t="shared" si="1"/>
        <v>19312</v>
      </c>
      <c r="I60" s="198">
        <f t="shared" si="2"/>
        <v>701.04390635952677</v>
      </c>
    </row>
    <row r="61" spans="1:9" ht="16.5" x14ac:dyDescent="0.25">
      <c r="A61" s="159" t="s">
        <v>22</v>
      </c>
      <c r="B61" s="174">
        <v>3</v>
      </c>
      <c r="C61" s="174">
        <v>1</v>
      </c>
      <c r="D61" s="174">
        <v>0</v>
      </c>
      <c r="E61" s="174">
        <v>0</v>
      </c>
      <c r="F61" s="174">
        <v>0</v>
      </c>
      <c r="G61" s="174">
        <v>0</v>
      </c>
      <c r="H61" s="201">
        <f t="shared" si="1"/>
        <v>4</v>
      </c>
      <c r="I61" s="199">
        <f t="shared" si="2"/>
        <v>0.14520379170661282</v>
      </c>
    </row>
    <row r="62" spans="1:9" ht="16.5" x14ac:dyDescent="0.25">
      <c r="A62" s="159" t="s">
        <v>23</v>
      </c>
      <c r="B62" s="174">
        <v>453</v>
      </c>
      <c r="C62" s="174">
        <v>707</v>
      </c>
      <c r="D62" s="174">
        <v>1554</v>
      </c>
      <c r="E62" s="174">
        <v>674</v>
      </c>
      <c r="F62" s="174">
        <v>54</v>
      </c>
      <c r="G62" s="174">
        <v>36</v>
      </c>
      <c r="H62" s="201">
        <f>SUM(B62:G62)</f>
        <v>3478</v>
      </c>
      <c r="I62" s="198">
        <f t="shared" si="2"/>
        <v>126.25469688889986</v>
      </c>
    </row>
    <row r="63" spans="1:9" ht="16.5" x14ac:dyDescent="0.25">
      <c r="A63" s="159" t="s">
        <v>59</v>
      </c>
      <c r="B63" s="174">
        <v>12</v>
      </c>
      <c r="C63" s="174">
        <v>11</v>
      </c>
      <c r="D63" s="174">
        <v>59</v>
      </c>
      <c r="E63" s="174">
        <v>22</v>
      </c>
      <c r="F63" s="174">
        <v>2</v>
      </c>
      <c r="G63" s="174">
        <v>1</v>
      </c>
      <c r="H63" s="201">
        <f t="shared" si="1"/>
        <v>107</v>
      </c>
      <c r="I63" s="198">
        <f t="shared" si="2"/>
        <v>3.8842014281518931</v>
      </c>
    </row>
    <row r="64" spans="1:9" s="191" customFormat="1" ht="16.5" x14ac:dyDescent="0.25">
      <c r="A64" s="32" t="s">
        <v>41</v>
      </c>
      <c r="B64" s="175">
        <f t="shared" ref="B64:G64" si="13">SUM(B65:B68)</f>
        <v>8</v>
      </c>
      <c r="C64" s="175">
        <f t="shared" si="13"/>
        <v>5</v>
      </c>
      <c r="D64" s="175">
        <f t="shared" si="13"/>
        <v>10</v>
      </c>
      <c r="E64" s="175">
        <f t="shared" si="13"/>
        <v>7</v>
      </c>
      <c r="F64" s="175">
        <f t="shared" si="13"/>
        <v>2</v>
      </c>
      <c r="G64" s="175">
        <f t="shared" si="13"/>
        <v>9</v>
      </c>
      <c r="H64" s="200">
        <f t="shared" si="1"/>
        <v>41</v>
      </c>
      <c r="I64" s="197">
        <f t="shared" si="2"/>
        <v>1.4883388649927816</v>
      </c>
    </row>
    <row r="65" spans="1:9" ht="16.5" x14ac:dyDescent="0.25">
      <c r="A65" s="159" t="s">
        <v>17</v>
      </c>
      <c r="B65" s="174">
        <v>6</v>
      </c>
      <c r="C65" s="174">
        <v>4</v>
      </c>
      <c r="D65" s="174">
        <v>7</v>
      </c>
      <c r="E65" s="174">
        <v>6</v>
      </c>
      <c r="F65" s="174">
        <v>2</v>
      </c>
      <c r="G65" s="174">
        <v>9</v>
      </c>
      <c r="H65" s="201">
        <f t="shared" si="1"/>
        <v>34</v>
      </c>
      <c r="I65" s="198">
        <f t="shared" si="2"/>
        <v>1.2342322295062091</v>
      </c>
    </row>
    <row r="66" spans="1:9" ht="16.5" x14ac:dyDescent="0.25">
      <c r="A66" s="160" t="s">
        <v>18</v>
      </c>
      <c r="B66" s="174">
        <v>1</v>
      </c>
      <c r="C66" s="174">
        <v>1</v>
      </c>
      <c r="D66" s="174">
        <v>1</v>
      </c>
      <c r="E66" s="174">
        <v>1</v>
      </c>
      <c r="F66" s="174">
        <v>0</v>
      </c>
      <c r="G66" s="174">
        <v>0</v>
      </c>
      <c r="H66" s="201">
        <f t="shared" si="1"/>
        <v>4</v>
      </c>
      <c r="I66" s="199">
        <f t="shared" si="2"/>
        <v>0.14520379170661282</v>
      </c>
    </row>
    <row r="67" spans="1:9" ht="16.5" x14ac:dyDescent="0.25">
      <c r="A67" s="159" t="s">
        <v>19</v>
      </c>
      <c r="B67" s="174">
        <v>0</v>
      </c>
      <c r="C67" s="174">
        <v>0</v>
      </c>
      <c r="D67" s="174">
        <v>1</v>
      </c>
      <c r="E67" s="174">
        <v>0</v>
      </c>
      <c r="F67" s="174">
        <v>0</v>
      </c>
      <c r="G67" s="174">
        <v>0</v>
      </c>
      <c r="H67" s="201">
        <f t="shared" ref="H67:H68" si="14">SUM(B67:G67)</f>
        <v>1</v>
      </c>
      <c r="I67" s="199">
        <f t="shared" si="2"/>
        <v>3.6300947926653206E-2</v>
      </c>
    </row>
    <row r="68" spans="1:9" ht="16.5" x14ac:dyDescent="0.25">
      <c r="A68" s="159" t="s">
        <v>58</v>
      </c>
      <c r="B68" s="174">
        <v>1</v>
      </c>
      <c r="C68" s="174">
        <v>0</v>
      </c>
      <c r="D68" s="174">
        <v>1</v>
      </c>
      <c r="E68" s="174">
        <v>0</v>
      </c>
      <c r="F68" s="174">
        <v>0</v>
      </c>
      <c r="G68" s="174">
        <v>0</v>
      </c>
      <c r="H68" s="201">
        <f t="shared" si="14"/>
        <v>2</v>
      </c>
      <c r="I68" s="199">
        <f t="shared" si="2"/>
        <v>7.2601895853306411E-2</v>
      </c>
    </row>
    <row r="69" spans="1:9" ht="14.25" x14ac:dyDescent="0.2">
      <c r="A69" s="69" t="s">
        <v>62</v>
      </c>
      <c r="B69" s="207">
        <v>2754749</v>
      </c>
      <c r="C69" s="207"/>
      <c r="D69" s="207"/>
      <c r="E69" s="207"/>
      <c r="F69" s="207"/>
      <c r="G69" s="207"/>
      <c r="H69" s="207"/>
      <c r="I69" s="207"/>
    </row>
    <row r="70" spans="1:9" ht="14.25" x14ac:dyDescent="0.2">
      <c r="A70" s="69" t="s">
        <v>13</v>
      </c>
      <c r="B70" s="70"/>
      <c r="C70" s="71"/>
      <c r="D70" s="72"/>
      <c r="E70" s="70"/>
      <c r="F70" s="71"/>
      <c r="G70" s="73"/>
      <c r="H70" s="69"/>
      <c r="I70" s="69"/>
    </row>
    <row r="71" spans="1:9" x14ac:dyDescent="0.2">
      <c r="A71" s="208" t="s">
        <v>14</v>
      </c>
      <c r="B71" s="209"/>
      <c r="C71" s="209"/>
      <c r="D71" s="209"/>
      <c r="E71" s="209"/>
      <c r="F71" s="209"/>
      <c r="G71" s="209"/>
      <c r="H71" s="209"/>
      <c r="I71" s="209"/>
    </row>
    <row r="72" spans="1:9" ht="14.25" x14ac:dyDescent="0.2">
      <c r="A72" s="74" t="s">
        <v>81</v>
      </c>
      <c r="B72" s="70"/>
      <c r="C72" s="71"/>
      <c r="D72" s="72"/>
      <c r="E72" s="70"/>
      <c r="F72" s="71"/>
      <c r="G72" s="73"/>
      <c r="H72" s="69"/>
      <c r="I72" s="69"/>
    </row>
    <row r="73" spans="1:9" s="177" customFormat="1" ht="14.25" x14ac:dyDescent="0.2">
      <c r="A73" s="177" t="s">
        <v>78</v>
      </c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topLeftCell="A31" zoomScale="90" zoomScaleNormal="90" workbookViewId="0">
      <selection activeCell="A64" sqref="A64:XFD64"/>
    </sheetView>
  </sheetViews>
  <sheetFormatPr defaultRowHeight="12.75" x14ac:dyDescent="0.2"/>
  <cols>
    <col min="1" max="1" width="55.6640625" customWidth="1"/>
    <col min="2" max="5" width="10.6640625" bestFit="1" customWidth="1"/>
    <col min="6" max="6" width="10.5" customWidth="1"/>
    <col min="7" max="7" width="10.6640625" bestFit="1" customWidth="1"/>
    <col min="8" max="8" width="12.33203125" bestFit="1" customWidth="1"/>
    <col min="9" max="9" width="25.6640625" customWidth="1"/>
  </cols>
  <sheetData>
    <row r="1" spans="1:9" ht="20.25" x14ac:dyDescent="0.3">
      <c r="A1" s="97" t="s">
        <v>75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s="191" customFormat="1" ht="16.5" x14ac:dyDescent="0.25">
      <c r="A4" s="32" t="s">
        <v>48</v>
      </c>
      <c r="B4" s="46">
        <f t="shared" ref="B4:G4" si="0">SUM(B5:B8)</f>
        <v>1763</v>
      </c>
      <c r="C4" s="47">
        <f t="shared" si="0"/>
        <v>1580</v>
      </c>
      <c r="D4" s="48">
        <f t="shared" si="0"/>
        <v>4080</v>
      </c>
      <c r="E4" s="47">
        <f t="shared" si="0"/>
        <v>2443</v>
      </c>
      <c r="F4" s="48">
        <f t="shared" si="0"/>
        <v>521</v>
      </c>
      <c r="G4" s="49">
        <f t="shared" si="0"/>
        <v>344</v>
      </c>
      <c r="H4" s="36">
        <f>SUM(B4:G4)</f>
        <v>10731</v>
      </c>
      <c r="I4" s="62">
        <f>H4/B$69 * 100000</f>
        <v>395.66483195582532</v>
      </c>
    </row>
    <row r="5" spans="1:9" ht="16.5" x14ac:dyDescent="0.25">
      <c r="A5" s="159" t="s">
        <v>17</v>
      </c>
      <c r="B5" s="174">
        <v>1645</v>
      </c>
      <c r="C5" s="174">
        <v>1433</v>
      </c>
      <c r="D5" s="174">
        <v>3762</v>
      </c>
      <c r="E5" s="174">
        <v>2306</v>
      </c>
      <c r="F5" s="174">
        <v>511</v>
      </c>
      <c r="G5" s="174">
        <v>341</v>
      </c>
      <c r="H5" s="106">
        <f t="shared" ref="H5:H66" si="1">SUM(B5:G5)</f>
        <v>9998</v>
      </c>
      <c r="I5" s="188">
        <f t="shared" ref="I5:I68" si="2">H5/B$69 * 100000</f>
        <v>368.63824339710578</v>
      </c>
    </row>
    <row r="6" spans="1:9" ht="16.5" x14ac:dyDescent="0.25">
      <c r="A6" s="159" t="s">
        <v>18</v>
      </c>
      <c r="B6" s="174">
        <v>83</v>
      </c>
      <c r="C6" s="174">
        <v>34</v>
      </c>
      <c r="D6" s="174">
        <v>67</v>
      </c>
      <c r="E6" s="174">
        <v>34</v>
      </c>
      <c r="F6" s="174">
        <v>1</v>
      </c>
      <c r="G6" s="174">
        <v>2</v>
      </c>
      <c r="H6" s="106">
        <f t="shared" si="1"/>
        <v>221</v>
      </c>
      <c r="I6" s="188">
        <f t="shared" si="2"/>
        <v>8.1485348860532465</v>
      </c>
    </row>
    <row r="7" spans="1:9" ht="16.5" x14ac:dyDescent="0.25">
      <c r="A7" s="159" t="s">
        <v>19</v>
      </c>
      <c r="B7" s="174">
        <v>23</v>
      </c>
      <c r="C7" s="174">
        <v>96</v>
      </c>
      <c r="D7" s="174">
        <v>224</v>
      </c>
      <c r="E7" s="174">
        <v>84</v>
      </c>
      <c r="F7" s="174">
        <v>6</v>
      </c>
      <c r="G7" s="174">
        <v>1</v>
      </c>
      <c r="H7" s="106">
        <f t="shared" si="1"/>
        <v>434</v>
      </c>
      <c r="I7" s="188">
        <f t="shared" si="2"/>
        <v>16.002100183471086</v>
      </c>
    </row>
    <row r="8" spans="1:9" ht="16.5" x14ac:dyDescent="0.25">
      <c r="A8" s="159" t="s">
        <v>58</v>
      </c>
      <c r="B8" s="174">
        <v>12</v>
      </c>
      <c r="C8" s="174">
        <v>17</v>
      </c>
      <c r="D8" s="174">
        <v>27</v>
      </c>
      <c r="E8" s="174">
        <v>19</v>
      </c>
      <c r="F8" s="174">
        <v>3</v>
      </c>
      <c r="G8" s="174">
        <v>0</v>
      </c>
      <c r="H8" s="106">
        <f t="shared" si="1"/>
        <v>78</v>
      </c>
      <c r="I8" s="188">
        <f t="shared" si="2"/>
        <v>2.8759534891952638</v>
      </c>
    </row>
    <row r="9" spans="1:9" s="191" customFormat="1" ht="16.5" x14ac:dyDescent="0.25">
      <c r="A9" s="32" t="s">
        <v>60</v>
      </c>
      <c r="B9" s="175">
        <f t="shared" ref="B9:G9" si="3">SUM(B10:B13)</f>
        <v>57</v>
      </c>
      <c r="C9" s="175">
        <f t="shared" si="3"/>
        <v>19</v>
      </c>
      <c r="D9" s="175">
        <f t="shared" si="3"/>
        <v>20</v>
      </c>
      <c r="E9" s="175">
        <f t="shared" si="3"/>
        <v>9</v>
      </c>
      <c r="F9" s="175">
        <f t="shared" si="3"/>
        <v>1</v>
      </c>
      <c r="G9" s="175">
        <f t="shared" si="3"/>
        <v>1</v>
      </c>
      <c r="H9" s="36">
        <f t="shared" si="1"/>
        <v>107</v>
      </c>
      <c r="I9" s="62">
        <f t="shared" si="2"/>
        <v>3.9452182479986315</v>
      </c>
    </row>
    <row r="10" spans="1:9" ht="16.5" x14ac:dyDescent="0.25">
      <c r="A10" s="159" t="s">
        <v>17</v>
      </c>
      <c r="B10" s="174">
        <v>13</v>
      </c>
      <c r="C10" s="174">
        <v>14</v>
      </c>
      <c r="D10" s="174">
        <v>16</v>
      </c>
      <c r="E10" s="174">
        <v>9</v>
      </c>
      <c r="F10" s="174">
        <v>1</v>
      </c>
      <c r="G10" s="174">
        <v>1</v>
      </c>
      <c r="H10" s="106">
        <f t="shared" si="1"/>
        <v>54</v>
      </c>
      <c r="I10" s="188">
        <f t="shared" si="2"/>
        <v>1.9910447232890289</v>
      </c>
    </row>
    <row r="11" spans="1:9" ht="16.5" x14ac:dyDescent="0.25">
      <c r="A11" s="159" t="s">
        <v>18</v>
      </c>
      <c r="B11" s="174">
        <v>0</v>
      </c>
      <c r="C11" s="174">
        <v>0</v>
      </c>
      <c r="D11" s="174">
        <v>1</v>
      </c>
      <c r="E11" s="174">
        <v>0</v>
      </c>
      <c r="F11" s="174">
        <v>0</v>
      </c>
      <c r="G11" s="174">
        <v>0</v>
      </c>
      <c r="H11" s="106">
        <f>SUM(B11:G11)</f>
        <v>1</v>
      </c>
      <c r="I11" s="189">
        <f t="shared" si="2"/>
        <v>3.6871198579426459E-2</v>
      </c>
    </row>
    <row r="12" spans="1:9" ht="16.5" x14ac:dyDescent="0.25">
      <c r="A12" s="159" t="s">
        <v>19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06">
        <f>SUM(B12:G12)</f>
        <v>0</v>
      </c>
      <c r="I12" s="188">
        <f t="shared" si="2"/>
        <v>0</v>
      </c>
    </row>
    <row r="13" spans="1:9" ht="16.5" x14ac:dyDescent="0.25">
      <c r="A13" s="159" t="s">
        <v>58</v>
      </c>
      <c r="B13" s="174">
        <v>44</v>
      </c>
      <c r="C13" s="174">
        <v>5</v>
      </c>
      <c r="D13" s="174">
        <v>3</v>
      </c>
      <c r="E13" s="174">
        <v>0</v>
      </c>
      <c r="F13" s="174">
        <v>0</v>
      </c>
      <c r="G13" s="174">
        <v>0</v>
      </c>
      <c r="H13" s="106">
        <f>SUM(B13:G13)</f>
        <v>52</v>
      </c>
      <c r="I13" s="188">
        <f t="shared" si="2"/>
        <v>1.917302326130176</v>
      </c>
    </row>
    <row r="14" spans="1:9" s="191" customFormat="1" ht="16.5" x14ac:dyDescent="0.25">
      <c r="A14" s="32" t="s">
        <v>49</v>
      </c>
      <c r="B14" s="175">
        <f t="shared" ref="B14:G14" si="4">SUM(B15:B18)</f>
        <v>21004</v>
      </c>
      <c r="C14" s="175">
        <f t="shared" si="4"/>
        <v>2732</v>
      </c>
      <c r="D14" s="175">
        <f t="shared" si="4"/>
        <v>8025</v>
      </c>
      <c r="E14" s="175">
        <f t="shared" si="4"/>
        <v>11205</v>
      </c>
      <c r="F14" s="175">
        <f t="shared" si="4"/>
        <v>5159</v>
      </c>
      <c r="G14" s="175">
        <f t="shared" si="4"/>
        <v>10067</v>
      </c>
      <c r="H14" s="36">
        <f t="shared" si="1"/>
        <v>58192</v>
      </c>
      <c r="I14" s="62">
        <f t="shared" si="2"/>
        <v>2145.6087877339846</v>
      </c>
    </row>
    <row r="15" spans="1:9" ht="16.5" x14ac:dyDescent="0.25">
      <c r="A15" s="159" t="s">
        <v>17</v>
      </c>
      <c r="B15" s="174">
        <v>20999</v>
      </c>
      <c r="C15" s="174">
        <v>2731</v>
      </c>
      <c r="D15" s="174">
        <v>8021</v>
      </c>
      <c r="E15" s="174">
        <v>11201</v>
      </c>
      <c r="F15" s="174">
        <v>5159</v>
      </c>
      <c r="G15" s="174">
        <v>10066</v>
      </c>
      <c r="H15" s="106">
        <f t="shared" si="1"/>
        <v>58177</v>
      </c>
      <c r="I15" s="188">
        <f t="shared" si="2"/>
        <v>2145.055719755293</v>
      </c>
    </row>
    <row r="16" spans="1:9" ht="16.5" x14ac:dyDescent="0.25">
      <c r="A16" s="159" t="s">
        <v>18</v>
      </c>
      <c r="B16" s="174">
        <v>1</v>
      </c>
      <c r="C16" s="174">
        <v>0</v>
      </c>
      <c r="D16" s="174">
        <v>2</v>
      </c>
      <c r="E16" s="174">
        <v>3</v>
      </c>
      <c r="F16" s="174">
        <v>0</v>
      </c>
      <c r="G16" s="174">
        <v>1</v>
      </c>
      <c r="H16" s="106">
        <f t="shared" si="1"/>
        <v>7</v>
      </c>
      <c r="I16" s="189">
        <f t="shared" si="2"/>
        <v>0.25809839005598523</v>
      </c>
    </row>
    <row r="17" spans="1:9" ht="16.5" x14ac:dyDescent="0.25">
      <c r="A17" s="159" t="s">
        <v>19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06">
        <f>SUM(B17:G17)</f>
        <v>0</v>
      </c>
      <c r="I17" s="188">
        <f t="shared" si="2"/>
        <v>0</v>
      </c>
    </row>
    <row r="18" spans="1:9" ht="16.5" x14ac:dyDescent="0.25">
      <c r="A18" s="159" t="s">
        <v>58</v>
      </c>
      <c r="B18" s="174">
        <v>4</v>
      </c>
      <c r="C18" s="174">
        <v>1</v>
      </c>
      <c r="D18" s="174">
        <v>2</v>
      </c>
      <c r="E18" s="174">
        <v>1</v>
      </c>
      <c r="F18" s="174">
        <v>0</v>
      </c>
      <c r="G18" s="174">
        <v>0</v>
      </c>
      <c r="H18" s="119">
        <f>SUM(B18:G18)</f>
        <v>8</v>
      </c>
      <c r="I18" s="189">
        <f t="shared" si="2"/>
        <v>0.29496958863541167</v>
      </c>
    </row>
    <row r="19" spans="1:9" s="191" customFormat="1" ht="16.5" x14ac:dyDescent="0.25">
      <c r="A19" s="162" t="s">
        <v>50</v>
      </c>
      <c r="B19" s="175">
        <f t="shared" ref="B19:G19" si="5">SUM(B20:B23)</f>
        <v>97</v>
      </c>
      <c r="C19" s="175">
        <f t="shared" si="5"/>
        <v>65</v>
      </c>
      <c r="D19" s="175">
        <f t="shared" si="5"/>
        <v>167</v>
      </c>
      <c r="E19" s="175">
        <f t="shared" si="5"/>
        <v>128</v>
      </c>
      <c r="F19" s="175">
        <f t="shared" si="5"/>
        <v>29</v>
      </c>
      <c r="G19" s="175">
        <f t="shared" si="5"/>
        <v>23</v>
      </c>
      <c r="H19" s="124">
        <f t="shared" si="1"/>
        <v>509</v>
      </c>
      <c r="I19" s="62">
        <f t="shared" si="2"/>
        <v>18.767440076928068</v>
      </c>
    </row>
    <row r="20" spans="1:9" ht="16.5" x14ac:dyDescent="0.25">
      <c r="A20" s="159" t="s">
        <v>17</v>
      </c>
      <c r="B20" s="174">
        <v>96</v>
      </c>
      <c r="C20" s="174">
        <v>61</v>
      </c>
      <c r="D20" s="174">
        <v>163</v>
      </c>
      <c r="E20" s="174">
        <v>127</v>
      </c>
      <c r="F20" s="174">
        <v>29</v>
      </c>
      <c r="G20" s="174">
        <v>22</v>
      </c>
      <c r="H20" s="106">
        <f t="shared" si="1"/>
        <v>498</v>
      </c>
      <c r="I20" s="188">
        <f t="shared" si="2"/>
        <v>18.361856892554378</v>
      </c>
    </row>
    <row r="21" spans="1:9" ht="16.5" x14ac:dyDescent="0.25">
      <c r="A21" s="159" t="s">
        <v>18</v>
      </c>
      <c r="B21" s="174">
        <v>0</v>
      </c>
      <c r="C21" s="174">
        <v>1</v>
      </c>
      <c r="D21" s="174">
        <v>1</v>
      </c>
      <c r="E21" s="174">
        <v>0</v>
      </c>
      <c r="F21" s="174">
        <v>0</v>
      </c>
      <c r="G21" s="174">
        <v>0</v>
      </c>
      <c r="H21" s="106">
        <f t="shared" si="1"/>
        <v>2</v>
      </c>
      <c r="I21" s="189">
        <f t="shared" si="2"/>
        <v>7.3742397158852918E-2</v>
      </c>
    </row>
    <row r="22" spans="1:9" ht="16.5" x14ac:dyDescent="0.25">
      <c r="A22" s="159" t="s">
        <v>19</v>
      </c>
      <c r="B22" s="174">
        <v>0</v>
      </c>
      <c r="C22" s="174">
        <v>1</v>
      </c>
      <c r="D22" s="174">
        <v>2</v>
      </c>
      <c r="E22" s="174">
        <v>1</v>
      </c>
      <c r="F22" s="174">
        <v>0</v>
      </c>
      <c r="G22" s="174">
        <v>1</v>
      </c>
      <c r="H22" s="106">
        <f t="shared" si="1"/>
        <v>5</v>
      </c>
      <c r="I22" s="189">
        <f t="shared" si="2"/>
        <v>0.18435599289713231</v>
      </c>
    </row>
    <row r="23" spans="1:9" ht="16.5" x14ac:dyDescent="0.25">
      <c r="A23" s="159" t="s">
        <v>58</v>
      </c>
      <c r="B23" s="174">
        <v>1</v>
      </c>
      <c r="C23" s="174">
        <v>2</v>
      </c>
      <c r="D23" s="174">
        <v>1</v>
      </c>
      <c r="E23" s="174">
        <v>0</v>
      </c>
      <c r="F23" s="174">
        <v>0</v>
      </c>
      <c r="G23" s="174">
        <v>0</v>
      </c>
      <c r="H23" s="119">
        <f t="shared" si="1"/>
        <v>4</v>
      </c>
      <c r="I23" s="189">
        <f t="shared" si="2"/>
        <v>0.14748479431770584</v>
      </c>
    </row>
    <row r="24" spans="1:9" s="191" customFormat="1" ht="16.5" x14ac:dyDescent="0.25">
      <c r="A24" s="162" t="s">
        <v>51</v>
      </c>
      <c r="B24" s="175">
        <f t="shared" ref="B24:G24" si="6">SUM(B25:B28)</f>
        <v>602</v>
      </c>
      <c r="C24" s="175">
        <f t="shared" si="6"/>
        <v>190</v>
      </c>
      <c r="D24" s="175">
        <f t="shared" si="6"/>
        <v>522</v>
      </c>
      <c r="E24" s="175">
        <f t="shared" si="6"/>
        <v>385</v>
      </c>
      <c r="F24" s="175">
        <f t="shared" si="6"/>
        <v>98</v>
      </c>
      <c r="G24" s="175">
        <f t="shared" si="6"/>
        <v>77</v>
      </c>
      <c r="H24" s="124">
        <f t="shared" si="1"/>
        <v>1874</v>
      </c>
      <c r="I24" s="62">
        <f t="shared" si="2"/>
        <v>69.096626137845192</v>
      </c>
    </row>
    <row r="25" spans="1:9" ht="16.5" x14ac:dyDescent="0.25">
      <c r="A25" s="159" t="s">
        <v>17</v>
      </c>
      <c r="B25" s="174">
        <v>586</v>
      </c>
      <c r="C25" s="174">
        <v>185</v>
      </c>
      <c r="D25" s="174">
        <v>510</v>
      </c>
      <c r="E25" s="174">
        <v>374</v>
      </c>
      <c r="F25" s="174">
        <v>94</v>
      </c>
      <c r="G25" s="174">
        <v>76</v>
      </c>
      <c r="H25" s="106">
        <f>SUM(B25:G25)</f>
        <v>1825</v>
      </c>
      <c r="I25" s="188">
        <f t="shared" si="2"/>
        <v>67.289937407453294</v>
      </c>
    </row>
    <row r="26" spans="1:9" ht="16.5" x14ac:dyDescent="0.25">
      <c r="A26" s="159" t="s">
        <v>18</v>
      </c>
      <c r="B26" s="174">
        <v>3</v>
      </c>
      <c r="C26" s="174">
        <v>2</v>
      </c>
      <c r="D26" s="174">
        <v>3</v>
      </c>
      <c r="E26" s="174">
        <v>1</v>
      </c>
      <c r="F26" s="174">
        <v>0</v>
      </c>
      <c r="G26" s="174">
        <v>0</v>
      </c>
      <c r="H26" s="106">
        <f>SUM(B26:G26)</f>
        <v>9</v>
      </c>
      <c r="I26" s="189">
        <f t="shared" si="2"/>
        <v>0.33184078721483817</v>
      </c>
    </row>
    <row r="27" spans="1:9" ht="16.5" x14ac:dyDescent="0.25">
      <c r="A27" s="159" t="s">
        <v>19</v>
      </c>
      <c r="B27" s="174">
        <v>0</v>
      </c>
      <c r="C27" s="174">
        <v>0</v>
      </c>
      <c r="D27" s="174">
        <v>1</v>
      </c>
      <c r="E27" s="174">
        <v>2</v>
      </c>
      <c r="F27" s="174">
        <v>0</v>
      </c>
      <c r="G27" s="174">
        <v>0</v>
      </c>
      <c r="H27" s="106">
        <f>SUM(B27:G27)</f>
        <v>3</v>
      </c>
      <c r="I27" s="189">
        <f t="shared" si="2"/>
        <v>0.11061359573827939</v>
      </c>
    </row>
    <row r="28" spans="1:9" ht="16.5" x14ac:dyDescent="0.25">
      <c r="A28" s="159" t="s">
        <v>58</v>
      </c>
      <c r="B28" s="174">
        <v>13</v>
      </c>
      <c r="C28" s="174">
        <v>3</v>
      </c>
      <c r="D28" s="174">
        <v>8</v>
      </c>
      <c r="E28" s="174">
        <v>8</v>
      </c>
      <c r="F28" s="174">
        <v>4</v>
      </c>
      <c r="G28" s="174">
        <v>1</v>
      </c>
      <c r="H28" s="131">
        <f t="shared" si="1"/>
        <v>37</v>
      </c>
      <c r="I28" s="188">
        <f t="shared" si="2"/>
        <v>1.364234347438779</v>
      </c>
    </row>
    <row r="29" spans="1:9" s="191" customFormat="1" ht="16.5" x14ac:dyDescent="0.25">
      <c r="A29" s="32" t="s">
        <v>52</v>
      </c>
      <c r="B29" s="175">
        <f t="shared" ref="B29:G29" si="7">SUM(B30:B33)</f>
        <v>67</v>
      </c>
      <c r="C29" s="175">
        <f t="shared" si="7"/>
        <v>211</v>
      </c>
      <c r="D29" s="175">
        <f t="shared" si="7"/>
        <v>217</v>
      </c>
      <c r="E29" s="175">
        <f t="shared" si="7"/>
        <v>70</v>
      </c>
      <c r="F29" s="175">
        <f t="shared" si="7"/>
        <v>5</v>
      </c>
      <c r="G29" s="175">
        <f t="shared" si="7"/>
        <v>5</v>
      </c>
      <c r="H29" s="36">
        <f t="shared" si="1"/>
        <v>575</v>
      </c>
      <c r="I29" s="62">
        <f t="shared" si="2"/>
        <v>21.200939183170217</v>
      </c>
    </row>
    <row r="30" spans="1:9" ht="16.5" x14ac:dyDescent="0.25">
      <c r="A30" s="159" t="s">
        <v>17</v>
      </c>
      <c r="B30" s="174">
        <v>41</v>
      </c>
      <c r="C30" s="174">
        <v>122</v>
      </c>
      <c r="D30" s="174">
        <v>139</v>
      </c>
      <c r="E30" s="174">
        <v>45</v>
      </c>
      <c r="F30" s="174">
        <v>2</v>
      </c>
      <c r="G30" s="174">
        <v>1</v>
      </c>
      <c r="H30" s="106">
        <f t="shared" si="1"/>
        <v>350</v>
      </c>
      <c r="I30" s="188">
        <f t="shared" si="2"/>
        <v>12.904919502799261</v>
      </c>
    </row>
    <row r="31" spans="1:9" ht="16.5" x14ac:dyDescent="0.25">
      <c r="A31" s="159" t="s">
        <v>18</v>
      </c>
      <c r="B31" s="174">
        <v>0</v>
      </c>
      <c r="C31" s="174">
        <v>0</v>
      </c>
      <c r="D31" s="174">
        <v>2</v>
      </c>
      <c r="E31" s="174">
        <v>1</v>
      </c>
      <c r="F31" s="174">
        <v>0</v>
      </c>
      <c r="G31" s="174">
        <v>0</v>
      </c>
      <c r="H31" s="106">
        <f t="shared" si="1"/>
        <v>3</v>
      </c>
      <c r="I31" s="189">
        <f t="shared" si="2"/>
        <v>0.11061359573827939</v>
      </c>
    </row>
    <row r="32" spans="1:9" ht="16.5" x14ac:dyDescent="0.25">
      <c r="A32" s="159" t="s">
        <v>19</v>
      </c>
      <c r="B32" s="174">
        <v>21</v>
      </c>
      <c r="C32" s="174">
        <v>78</v>
      </c>
      <c r="D32" s="174">
        <v>67</v>
      </c>
      <c r="E32" s="174">
        <v>24</v>
      </c>
      <c r="F32" s="174">
        <v>3</v>
      </c>
      <c r="G32" s="174">
        <v>3</v>
      </c>
      <c r="H32" s="106">
        <f t="shared" si="1"/>
        <v>196</v>
      </c>
      <c r="I32" s="188">
        <f t="shared" si="2"/>
        <v>7.2267549215675855</v>
      </c>
    </row>
    <row r="33" spans="1:9" ht="16.5" x14ac:dyDescent="0.25">
      <c r="A33" s="160" t="s">
        <v>58</v>
      </c>
      <c r="B33" s="174">
        <v>5</v>
      </c>
      <c r="C33" s="174">
        <v>11</v>
      </c>
      <c r="D33" s="174">
        <v>9</v>
      </c>
      <c r="E33" s="174">
        <v>0</v>
      </c>
      <c r="F33" s="174">
        <v>0</v>
      </c>
      <c r="G33" s="174">
        <v>1</v>
      </c>
      <c r="H33" s="106">
        <f t="shared" si="1"/>
        <v>26</v>
      </c>
      <c r="I33" s="188">
        <f t="shared" si="2"/>
        <v>0.95865116306508802</v>
      </c>
    </row>
    <row r="34" spans="1:9" s="191" customFormat="1" ht="16.5" x14ac:dyDescent="0.25">
      <c r="A34" s="39" t="s">
        <v>12</v>
      </c>
      <c r="B34" s="190">
        <v>32</v>
      </c>
      <c r="C34" s="190">
        <v>94</v>
      </c>
      <c r="D34" s="190">
        <v>300</v>
      </c>
      <c r="E34" s="190">
        <v>281</v>
      </c>
      <c r="F34" s="190">
        <v>48</v>
      </c>
      <c r="G34" s="190">
        <v>23</v>
      </c>
      <c r="H34" s="44">
        <f t="shared" si="1"/>
        <v>778</v>
      </c>
      <c r="I34" s="62">
        <f t="shared" si="2"/>
        <v>28.685792494793787</v>
      </c>
    </row>
    <row r="35" spans="1:9" s="191" customFormat="1" ht="16.5" x14ac:dyDescent="0.25">
      <c r="A35" s="32" t="s">
        <v>53</v>
      </c>
      <c r="B35" s="175">
        <f>SUM(B36+B42+B43+B44)</f>
        <v>2455</v>
      </c>
      <c r="C35" s="175">
        <f t="shared" ref="C35:H35" si="8">SUM(C36+C42+C43+C44)</f>
        <v>4276</v>
      </c>
      <c r="D35" s="175">
        <f t="shared" si="8"/>
        <v>8320</v>
      </c>
      <c r="E35" s="175">
        <f t="shared" si="8"/>
        <v>5078</v>
      </c>
      <c r="F35" s="175">
        <f t="shared" si="8"/>
        <v>1190</v>
      </c>
      <c r="G35" s="175">
        <f t="shared" si="8"/>
        <v>666</v>
      </c>
      <c r="H35" s="36">
        <f t="shared" si="8"/>
        <v>21985</v>
      </c>
      <c r="I35" s="62">
        <f t="shared" si="2"/>
        <v>810.61330076869081</v>
      </c>
    </row>
    <row r="36" spans="1:9" ht="16.5" x14ac:dyDescent="0.25">
      <c r="A36" s="159" t="s">
        <v>17</v>
      </c>
      <c r="B36" s="176">
        <f t="shared" ref="B36:G36" si="9">SUM(B37:B41)</f>
        <v>2452</v>
      </c>
      <c r="C36" s="176">
        <f t="shared" si="9"/>
        <v>4274</v>
      </c>
      <c r="D36" s="176">
        <f t="shared" si="9"/>
        <v>8308</v>
      </c>
      <c r="E36" s="176">
        <f t="shared" si="9"/>
        <v>5076</v>
      </c>
      <c r="F36" s="176">
        <f t="shared" si="9"/>
        <v>1189</v>
      </c>
      <c r="G36" s="176">
        <f t="shared" si="9"/>
        <v>666</v>
      </c>
      <c r="H36" s="106">
        <f t="shared" si="1"/>
        <v>21965</v>
      </c>
      <c r="I36" s="188">
        <f t="shared" si="2"/>
        <v>809.87587679710225</v>
      </c>
    </row>
    <row r="37" spans="1:9" ht="16.5" x14ac:dyDescent="0.25">
      <c r="A37" s="159" t="s">
        <v>24</v>
      </c>
      <c r="B37" s="174">
        <v>2119</v>
      </c>
      <c r="C37" s="174">
        <v>3737</v>
      </c>
      <c r="D37" s="174">
        <v>7278</v>
      </c>
      <c r="E37" s="174">
        <v>4429</v>
      </c>
      <c r="F37" s="174">
        <v>1067</v>
      </c>
      <c r="G37" s="174">
        <v>617</v>
      </c>
      <c r="H37" s="106">
        <f t="shared" si="1"/>
        <v>19247</v>
      </c>
      <c r="I37" s="188">
        <f t="shared" si="2"/>
        <v>709.65995905822115</v>
      </c>
    </row>
    <row r="38" spans="1:9" ht="16.5" x14ac:dyDescent="0.25">
      <c r="A38" s="159" t="s">
        <v>25</v>
      </c>
      <c r="B38" s="174">
        <v>48</v>
      </c>
      <c r="C38" s="174">
        <v>320</v>
      </c>
      <c r="D38" s="174">
        <v>547</v>
      </c>
      <c r="E38" s="174">
        <v>215</v>
      </c>
      <c r="F38" s="174">
        <v>33</v>
      </c>
      <c r="G38" s="174">
        <v>9</v>
      </c>
      <c r="H38" s="106">
        <f t="shared" si="1"/>
        <v>1172</v>
      </c>
      <c r="I38" s="188">
        <f t="shared" si="2"/>
        <v>43.213044735087813</v>
      </c>
    </row>
    <row r="39" spans="1:9" ht="16.5" x14ac:dyDescent="0.25">
      <c r="A39" s="159" t="s">
        <v>26</v>
      </c>
      <c r="B39" s="174">
        <v>213</v>
      </c>
      <c r="C39" s="174">
        <v>139</v>
      </c>
      <c r="D39" s="174">
        <v>313</v>
      </c>
      <c r="E39" s="174">
        <v>278</v>
      </c>
      <c r="F39" s="174">
        <v>48</v>
      </c>
      <c r="G39" s="174">
        <v>8</v>
      </c>
      <c r="H39" s="106">
        <f t="shared" si="1"/>
        <v>999</v>
      </c>
      <c r="I39" s="188">
        <f t="shared" si="2"/>
        <v>36.834327380847036</v>
      </c>
    </row>
    <row r="40" spans="1:9" ht="16.5" x14ac:dyDescent="0.25">
      <c r="A40" s="159" t="s">
        <v>27</v>
      </c>
      <c r="B40" s="174">
        <v>72</v>
      </c>
      <c r="C40" s="174">
        <v>78</v>
      </c>
      <c r="D40" s="174">
        <v>170</v>
      </c>
      <c r="E40" s="174">
        <v>154</v>
      </c>
      <c r="F40" s="174">
        <v>41</v>
      </c>
      <c r="G40" s="174">
        <v>31</v>
      </c>
      <c r="H40" s="106">
        <f t="shared" si="1"/>
        <v>546</v>
      </c>
      <c r="I40" s="188">
        <f t="shared" si="2"/>
        <v>20.13167442436685</v>
      </c>
    </row>
    <row r="41" spans="1:9" ht="16.5" x14ac:dyDescent="0.25">
      <c r="A41" s="159" t="s">
        <v>28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1</v>
      </c>
      <c r="H41" s="106">
        <f t="shared" si="1"/>
        <v>1</v>
      </c>
      <c r="I41" s="189">
        <f t="shared" si="2"/>
        <v>3.6871198579426459E-2</v>
      </c>
    </row>
    <row r="42" spans="1:9" ht="16.5" x14ac:dyDescent="0.25">
      <c r="A42" s="159" t="s">
        <v>18</v>
      </c>
      <c r="B42" s="174">
        <v>3</v>
      </c>
      <c r="C42" s="174">
        <v>1</v>
      </c>
      <c r="D42" s="174">
        <v>2</v>
      </c>
      <c r="E42" s="174">
        <v>0</v>
      </c>
      <c r="F42" s="174">
        <v>1</v>
      </c>
      <c r="G42" s="174">
        <v>0</v>
      </c>
      <c r="H42" s="106">
        <f t="shared" si="1"/>
        <v>7</v>
      </c>
      <c r="I42" s="189">
        <f t="shared" si="2"/>
        <v>0.25809839005598523</v>
      </c>
    </row>
    <row r="43" spans="1:9" ht="16.5" x14ac:dyDescent="0.25">
      <c r="A43" s="159" t="s">
        <v>19</v>
      </c>
      <c r="B43" s="174">
        <v>0</v>
      </c>
      <c r="C43" s="174">
        <v>0</v>
      </c>
      <c r="D43" s="174">
        <v>2</v>
      </c>
      <c r="E43" s="174">
        <v>1</v>
      </c>
      <c r="F43" s="174">
        <v>0</v>
      </c>
      <c r="G43" s="174">
        <v>0</v>
      </c>
      <c r="H43" s="106">
        <f>SUM(B43:G43)</f>
        <v>3</v>
      </c>
      <c r="I43" s="189">
        <f t="shared" si="2"/>
        <v>0.11061359573827939</v>
      </c>
    </row>
    <row r="44" spans="1:9" ht="16.5" x14ac:dyDescent="0.25">
      <c r="A44" s="159" t="s">
        <v>58</v>
      </c>
      <c r="B44" s="174">
        <v>0</v>
      </c>
      <c r="C44" s="174">
        <v>1</v>
      </c>
      <c r="D44" s="174">
        <v>8</v>
      </c>
      <c r="E44" s="174">
        <v>1</v>
      </c>
      <c r="F44" s="174">
        <v>0</v>
      </c>
      <c r="G44" s="174">
        <v>0</v>
      </c>
      <c r="H44" s="141">
        <f>SUM(B44:G44)</f>
        <v>10</v>
      </c>
      <c r="I44" s="188">
        <f t="shared" si="2"/>
        <v>0.36871198579426462</v>
      </c>
    </row>
    <row r="45" spans="1:9" s="191" customFormat="1" ht="16.5" x14ac:dyDescent="0.25">
      <c r="A45" s="39" t="s">
        <v>32</v>
      </c>
      <c r="B45" s="190">
        <v>420</v>
      </c>
      <c r="C45" s="190">
        <v>98</v>
      </c>
      <c r="D45" s="190">
        <v>244</v>
      </c>
      <c r="E45" s="190">
        <v>274</v>
      </c>
      <c r="F45" s="190">
        <v>38</v>
      </c>
      <c r="G45" s="190">
        <v>16</v>
      </c>
      <c r="H45" s="44">
        <f t="shared" si="1"/>
        <v>1090</v>
      </c>
      <c r="I45" s="62">
        <f t="shared" si="2"/>
        <v>40.189606451574846</v>
      </c>
    </row>
    <row r="46" spans="1:9" s="191" customFormat="1" ht="16.5" x14ac:dyDescent="0.25">
      <c r="A46" s="39" t="s">
        <v>33</v>
      </c>
      <c r="B46" s="190">
        <v>66</v>
      </c>
      <c r="C46" s="190">
        <v>87</v>
      </c>
      <c r="D46" s="190">
        <v>168</v>
      </c>
      <c r="E46" s="190">
        <v>165</v>
      </c>
      <c r="F46" s="190">
        <v>56</v>
      </c>
      <c r="G46" s="190">
        <v>33</v>
      </c>
      <c r="H46" s="44">
        <f t="shared" si="1"/>
        <v>575</v>
      </c>
      <c r="I46" s="62">
        <f t="shared" si="2"/>
        <v>21.200939183170217</v>
      </c>
    </row>
    <row r="47" spans="1:9" s="191" customFormat="1" ht="16.5" x14ac:dyDescent="0.25">
      <c r="A47" s="32" t="s">
        <v>47</v>
      </c>
      <c r="B47" s="175">
        <f t="shared" ref="B47:G47" si="10">SUM(B48:B51)</f>
        <v>218</v>
      </c>
      <c r="C47" s="175">
        <f t="shared" si="10"/>
        <v>173</v>
      </c>
      <c r="D47" s="175">
        <f t="shared" si="10"/>
        <v>280</v>
      </c>
      <c r="E47" s="175">
        <f t="shared" si="10"/>
        <v>128</v>
      </c>
      <c r="F47" s="175">
        <f t="shared" si="10"/>
        <v>22</v>
      </c>
      <c r="G47" s="175">
        <f t="shared" si="10"/>
        <v>14</v>
      </c>
      <c r="H47" s="36">
        <f t="shared" si="1"/>
        <v>835</v>
      </c>
      <c r="I47" s="62">
        <f t="shared" si="2"/>
        <v>30.787450813821096</v>
      </c>
    </row>
    <row r="48" spans="1:9" ht="16.5" x14ac:dyDescent="0.25">
      <c r="A48" s="159" t="s">
        <v>17</v>
      </c>
      <c r="B48" s="174">
        <v>218</v>
      </c>
      <c r="C48" s="174">
        <v>173</v>
      </c>
      <c r="D48" s="174">
        <v>280</v>
      </c>
      <c r="E48" s="174">
        <v>128</v>
      </c>
      <c r="F48" s="174">
        <v>22</v>
      </c>
      <c r="G48" s="174">
        <v>14</v>
      </c>
      <c r="H48" s="106">
        <f t="shared" si="1"/>
        <v>835</v>
      </c>
      <c r="I48" s="188">
        <f t="shared" si="2"/>
        <v>30.787450813821096</v>
      </c>
    </row>
    <row r="49" spans="1:9" ht="16.5" x14ac:dyDescent="0.25">
      <c r="A49" s="160" t="s">
        <v>18</v>
      </c>
      <c r="B49" s="176">
        <v>0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112">
        <f t="shared" si="1"/>
        <v>0</v>
      </c>
      <c r="I49" s="188">
        <f t="shared" si="2"/>
        <v>0</v>
      </c>
    </row>
    <row r="50" spans="1:9" ht="16.5" x14ac:dyDescent="0.25">
      <c r="A50" s="159" t="s">
        <v>19</v>
      </c>
      <c r="B50" s="176">
        <v>0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12">
        <f t="shared" si="1"/>
        <v>0</v>
      </c>
      <c r="I50" s="188">
        <f t="shared" si="2"/>
        <v>0</v>
      </c>
    </row>
    <row r="51" spans="1:9" ht="16.5" x14ac:dyDescent="0.25">
      <c r="A51" s="159" t="s">
        <v>58</v>
      </c>
      <c r="B51" s="176">
        <v>0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19">
        <f t="shared" si="1"/>
        <v>0</v>
      </c>
      <c r="I51" s="188">
        <f t="shared" si="2"/>
        <v>0</v>
      </c>
    </row>
    <row r="52" spans="1:9" s="191" customFormat="1" ht="16.5" x14ac:dyDescent="0.25">
      <c r="A52" s="45" t="s">
        <v>79</v>
      </c>
      <c r="B52" s="187">
        <v>133</v>
      </c>
      <c r="C52" s="187">
        <v>59</v>
      </c>
      <c r="D52" s="187">
        <v>152</v>
      </c>
      <c r="E52" s="187">
        <v>143</v>
      </c>
      <c r="F52" s="187">
        <v>40</v>
      </c>
      <c r="G52" s="187">
        <v>45</v>
      </c>
      <c r="H52" s="50">
        <v>572</v>
      </c>
      <c r="I52" s="62">
        <f t="shared" si="2"/>
        <v>21.090325587431938</v>
      </c>
    </row>
    <row r="53" spans="1:9" ht="16.5" x14ac:dyDescent="0.25">
      <c r="A53" s="39" t="s">
        <v>11</v>
      </c>
      <c r="B53" s="174" t="s">
        <v>80</v>
      </c>
      <c r="C53" s="174" t="s">
        <v>80</v>
      </c>
      <c r="D53" s="174" t="s">
        <v>80</v>
      </c>
      <c r="E53" s="174" t="s">
        <v>80</v>
      </c>
      <c r="F53" s="174" t="s">
        <v>80</v>
      </c>
      <c r="G53" s="174" t="s">
        <v>80</v>
      </c>
      <c r="H53" s="44" t="s">
        <v>80</v>
      </c>
      <c r="I53" s="188" t="s">
        <v>80</v>
      </c>
    </row>
    <row r="54" spans="1:9" s="191" customFormat="1" ht="16.5" x14ac:dyDescent="0.25">
      <c r="A54" s="32" t="s">
        <v>45</v>
      </c>
      <c r="B54" s="175">
        <f t="shared" ref="B54:G54" si="11">SUM(B55:B58)</f>
        <v>959</v>
      </c>
      <c r="C54" s="175">
        <f t="shared" si="11"/>
        <v>501</v>
      </c>
      <c r="D54" s="175">
        <f t="shared" si="11"/>
        <v>1209</v>
      </c>
      <c r="E54" s="175">
        <f t="shared" si="11"/>
        <v>829</v>
      </c>
      <c r="F54" s="175">
        <f t="shared" si="11"/>
        <v>189</v>
      </c>
      <c r="G54" s="175">
        <f t="shared" si="11"/>
        <v>161</v>
      </c>
      <c r="H54" s="44">
        <f>SUM(B54:G54)</f>
        <v>3848</v>
      </c>
      <c r="I54" s="62">
        <f t="shared" si="2"/>
        <v>141.88037213363302</v>
      </c>
    </row>
    <row r="55" spans="1:9" ht="16.5" x14ac:dyDescent="0.25">
      <c r="A55" s="159" t="s">
        <v>1</v>
      </c>
      <c r="B55" s="174">
        <v>774</v>
      </c>
      <c r="C55" s="174">
        <v>370</v>
      </c>
      <c r="D55" s="174">
        <v>970</v>
      </c>
      <c r="E55" s="174">
        <v>704</v>
      </c>
      <c r="F55" s="174">
        <v>172</v>
      </c>
      <c r="G55" s="174">
        <v>144</v>
      </c>
      <c r="H55" s="106">
        <f t="shared" si="1"/>
        <v>3134</v>
      </c>
      <c r="I55" s="188">
        <f t="shared" si="2"/>
        <v>115.55433634792251</v>
      </c>
    </row>
    <row r="56" spans="1:9" ht="16.5" x14ac:dyDescent="0.25">
      <c r="A56" s="159" t="s">
        <v>22</v>
      </c>
      <c r="B56" s="174">
        <v>167</v>
      </c>
      <c r="C56" s="174">
        <v>112</v>
      </c>
      <c r="D56" s="174">
        <v>174</v>
      </c>
      <c r="E56" s="174">
        <v>94</v>
      </c>
      <c r="F56" s="174">
        <v>13</v>
      </c>
      <c r="G56" s="174">
        <v>12</v>
      </c>
      <c r="H56" s="106">
        <f t="shared" si="1"/>
        <v>572</v>
      </c>
      <c r="I56" s="188">
        <f t="shared" si="2"/>
        <v>21.090325587431938</v>
      </c>
    </row>
    <row r="57" spans="1:9" ht="16.5" x14ac:dyDescent="0.25">
      <c r="A57" s="159" t="s">
        <v>23</v>
      </c>
      <c r="B57" s="174">
        <v>0</v>
      </c>
      <c r="C57" s="174">
        <v>2</v>
      </c>
      <c r="D57" s="174">
        <v>8</v>
      </c>
      <c r="E57" s="174">
        <v>7</v>
      </c>
      <c r="F57" s="174">
        <v>0</v>
      </c>
      <c r="G57" s="174">
        <v>0</v>
      </c>
      <c r="H57" s="106">
        <f>SUM(B57:G57)</f>
        <v>17</v>
      </c>
      <c r="I57" s="188">
        <f t="shared" si="2"/>
        <v>0.6268103758502499</v>
      </c>
    </row>
    <row r="58" spans="1:9" ht="16.5" x14ac:dyDescent="0.25">
      <c r="A58" s="159" t="s">
        <v>59</v>
      </c>
      <c r="B58" s="174">
        <v>18</v>
      </c>
      <c r="C58" s="174">
        <v>17</v>
      </c>
      <c r="D58" s="174">
        <v>57</v>
      </c>
      <c r="E58" s="174">
        <v>24</v>
      </c>
      <c r="F58" s="174">
        <v>4</v>
      </c>
      <c r="G58" s="174">
        <v>5</v>
      </c>
      <c r="H58" s="106">
        <f t="shared" si="1"/>
        <v>125</v>
      </c>
      <c r="I58" s="188">
        <f t="shared" si="2"/>
        <v>4.6088998224283078</v>
      </c>
    </row>
    <row r="59" spans="1:9" s="191" customFormat="1" ht="16.5" x14ac:dyDescent="0.25">
      <c r="A59" s="32" t="s">
        <v>42</v>
      </c>
      <c r="B59" s="175">
        <f t="shared" ref="B59:G59" si="12">SUM(B60:B63)</f>
        <v>8673</v>
      </c>
      <c r="C59" s="175">
        <f t="shared" si="12"/>
        <v>3006</v>
      </c>
      <c r="D59" s="175">
        <f t="shared" si="12"/>
        <v>6275</v>
      </c>
      <c r="E59" s="175">
        <f t="shared" si="12"/>
        <v>3891</v>
      </c>
      <c r="F59" s="175">
        <f t="shared" si="12"/>
        <v>845</v>
      </c>
      <c r="G59" s="175">
        <f t="shared" si="12"/>
        <v>825</v>
      </c>
      <c r="H59" s="36">
        <f t="shared" si="1"/>
        <v>23515</v>
      </c>
      <c r="I59" s="62">
        <f t="shared" si="2"/>
        <v>867.02623459521328</v>
      </c>
    </row>
    <row r="60" spans="1:9" ht="16.5" x14ac:dyDescent="0.25">
      <c r="A60" s="159" t="s">
        <v>1</v>
      </c>
      <c r="B60" s="174">
        <v>8165</v>
      </c>
      <c r="C60" s="174">
        <v>2181</v>
      </c>
      <c r="D60" s="174">
        <v>4575</v>
      </c>
      <c r="E60" s="174">
        <v>3153</v>
      </c>
      <c r="F60" s="174">
        <v>766</v>
      </c>
      <c r="G60" s="174">
        <v>786</v>
      </c>
      <c r="H60" s="106">
        <f t="shared" si="1"/>
        <v>19626</v>
      </c>
      <c r="I60" s="188">
        <f t="shared" si="2"/>
        <v>723.63414331982369</v>
      </c>
    </row>
    <row r="61" spans="1:9" ht="16.5" x14ac:dyDescent="0.25">
      <c r="A61" s="159" t="s">
        <v>22</v>
      </c>
      <c r="B61" s="174">
        <v>3</v>
      </c>
      <c r="C61" s="174">
        <v>0</v>
      </c>
      <c r="D61" s="174">
        <v>8</v>
      </c>
      <c r="E61" s="174">
        <v>1</v>
      </c>
      <c r="F61" s="174">
        <v>1</v>
      </c>
      <c r="G61" s="174">
        <v>0</v>
      </c>
      <c r="H61" s="106">
        <f t="shared" si="1"/>
        <v>13</v>
      </c>
      <c r="I61" s="188">
        <f t="shared" si="2"/>
        <v>0.47932558153254401</v>
      </c>
    </row>
    <row r="62" spans="1:9" ht="16.5" x14ac:dyDescent="0.25">
      <c r="A62" s="159" t="s">
        <v>23</v>
      </c>
      <c r="B62" s="174">
        <v>480</v>
      </c>
      <c r="C62" s="174">
        <v>811</v>
      </c>
      <c r="D62" s="174">
        <v>1651</v>
      </c>
      <c r="E62" s="174">
        <v>715</v>
      </c>
      <c r="F62" s="174">
        <v>77</v>
      </c>
      <c r="G62" s="174">
        <v>39</v>
      </c>
      <c r="H62" s="131">
        <f>SUM(B62:G62)</f>
        <v>3773</v>
      </c>
      <c r="I62" s="188">
        <f t="shared" si="2"/>
        <v>139.11503224017602</v>
      </c>
    </row>
    <row r="63" spans="1:9" ht="16.5" x14ac:dyDescent="0.25">
      <c r="A63" s="159" t="s">
        <v>59</v>
      </c>
      <c r="B63" s="174">
        <v>25</v>
      </c>
      <c r="C63" s="174">
        <v>14</v>
      </c>
      <c r="D63" s="174">
        <v>41</v>
      </c>
      <c r="E63" s="174">
        <v>22</v>
      </c>
      <c r="F63" s="174">
        <v>1</v>
      </c>
      <c r="G63" s="174">
        <v>0</v>
      </c>
      <c r="H63" s="106">
        <f t="shared" si="1"/>
        <v>103</v>
      </c>
      <c r="I63" s="188">
        <f t="shared" si="2"/>
        <v>3.7977334536809257</v>
      </c>
    </row>
    <row r="64" spans="1:9" s="191" customFormat="1" ht="16.5" x14ac:dyDescent="0.25">
      <c r="A64" s="32" t="s">
        <v>41</v>
      </c>
      <c r="B64" s="175">
        <f t="shared" ref="B64:G64" si="13">SUM(B65:B68)</f>
        <v>28</v>
      </c>
      <c r="C64" s="175">
        <f t="shared" si="13"/>
        <v>3</v>
      </c>
      <c r="D64" s="175">
        <f t="shared" si="13"/>
        <v>7</v>
      </c>
      <c r="E64" s="175">
        <f t="shared" si="13"/>
        <v>10</v>
      </c>
      <c r="F64" s="175">
        <f t="shared" si="13"/>
        <v>8</v>
      </c>
      <c r="G64" s="175">
        <f t="shared" si="13"/>
        <v>9</v>
      </c>
      <c r="H64" s="36">
        <f t="shared" si="1"/>
        <v>65</v>
      </c>
      <c r="I64" s="62">
        <f t="shared" si="2"/>
        <v>2.3966279076627197</v>
      </c>
    </row>
    <row r="65" spans="1:9" ht="16.5" x14ac:dyDescent="0.25">
      <c r="A65" s="159" t="s">
        <v>17</v>
      </c>
      <c r="B65" s="174">
        <v>24</v>
      </c>
      <c r="C65" s="174">
        <v>3</v>
      </c>
      <c r="D65" s="174">
        <v>4</v>
      </c>
      <c r="E65" s="174">
        <v>10</v>
      </c>
      <c r="F65" s="174">
        <v>7</v>
      </c>
      <c r="G65" s="174">
        <v>9</v>
      </c>
      <c r="H65" s="106">
        <f t="shared" si="1"/>
        <v>57</v>
      </c>
      <c r="I65" s="188">
        <f t="shared" si="2"/>
        <v>2.1016583190273082</v>
      </c>
    </row>
    <row r="66" spans="1:9" ht="16.5" x14ac:dyDescent="0.25">
      <c r="A66" s="160" t="s">
        <v>18</v>
      </c>
      <c r="B66" s="174">
        <v>2</v>
      </c>
      <c r="C66" s="174">
        <v>0</v>
      </c>
      <c r="D66" s="174">
        <v>2</v>
      </c>
      <c r="E66" s="174">
        <v>0</v>
      </c>
      <c r="F66" s="174">
        <v>0</v>
      </c>
      <c r="G66" s="174">
        <v>0</v>
      </c>
      <c r="H66" s="106">
        <f t="shared" si="1"/>
        <v>4</v>
      </c>
      <c r="I66" s="189">
        <f t="shared" si="2"/>
        <v>0.14748479431770584</v>
      </c>
    </row>
    <row r="67" spans="1:9" ht="16.5" x14ac:dyDescent="0.25">
      <c r="A67" s="159" t="s">
        <v>19</v>
      </c>
      <c r="B67" s="174">
        <v>0</v>
      </c>
      <c r="C67" s="174">
        <v>0</v>
      </c>
      <c r="D67" s="174">
        <v>1</v>
      </c>
      <c r="E67" s="174">
        <v>0</v>
      </c>
      <c r="F67" s="174">
        <v>0</v>
      </c>
      <c r="G67" s="174">
        <v>0</v>
      </c>
      <c r="H67" s="106">
        <f t="shared" ref="H67:H68" si="14">SUM(B67:G67)</f>
        <v>1</v>
      </c>
      <c r="I67" s="189">
        <f t="shared" si="2"/>
        <v>3.6871198579426459E-2</v>
      </c>
    </row>
    <row r="68" spans="1:9" ht="16.5" x14ac:dyDescent="0.25">
      <c r="A68" s="159" t="s">
        <v>58</v>
      </c>
      <c r="B68" s="174">
        <v>2</v>
      </c>
      <c r="C68" s="174">
        <v>0</v>
      </c>
      <c r="D68" s="174">
        <v>0</v>
      </c>
      <c r="E68" s="174">
        <v>0</v>
      </c>
      <c r="F68" s="174">
        <v>1</v>
      </c>
      <c r="G68" s="174">
        <v>0</v>
      </c>
      <c r="H68" s="106">
        <f t="shared" si="14"/>
        <v>3</v>
      </c>
      <c r="I68" s="189">
        <f t="shared" si="2"/>
        <v>0.11061359573827939</v>
      </c>
    </row>
    <row r="69" spans="1:9" ht="14.25" x14ac:dyDescent="0.2">
      <c r="A69" s="69" t="s">
        <v>62</v>
      </c>
      <c r="B69" s="207">
        <v>2712144</v>
      </c>
      <c r="C69" s="207"/>
      <c r="D69" s="207"/>
      <c r="E69" s="207"/>
      <c r="F69" s="207"/>
      <c r="G69" s="207"/>
      <c r="H69" s="207"/>
      <c r="I69" s="207"/>
    </row>
    <row r="70" spans="1:9" ht="14.25" x14ac:dyDescent="0.2">
      <c r="A70" s="69" t="s">
        <v>13</v>
      </c>
      <c r="B70" s="70"/>
      <c r="C70" s="71"/>
      <c r="D70" s="72"/>
      <c r="E70" s="70"/>
      <c r="F70" s="71"/>
      <c r="G70" s="73"/>
      <c r="H70" s="69"/>
      <c r="I70" s="69"/>
    </row>
    <row r="71" spans="1:9" x14ac:dyDescent="0.2">
      <c r="A71" s="208" t="s">
        <v>14</v>
      </c>
      <c r="B71" s="209"/>
      <c r="C71" s="209"/>
      <c r="D71" s="209"/>
      <c r="E71" s="209"/>
      <c r="F71" s="209"/>
      <c r="G71" s="209"/>
      <c r="H71" s="209"/>
      <c r="I71" s="209"/>
    </row>
    <row r="72" spans="1:9" ht="14.25" x14ac:dyDescent="0.2">
      <c r="A72" s="74" t="s">
        <v>81</v>
      </c>
      <c r="B72" s="70"/>
      <c r="C72" s="71"/>
      <c r="D72" s="72"/>
      <c r="E72" s="70"/>
      <c r="F72" s="71"/>
      <c r="G72" s="73"/>
      <c r="H72" s="69"/>
      <c r="I72" s="69"/>
    </row>
    <row r="73" spans="1:9" s="177" customFormat="1" ht="14.25" x14ac:dyDescent="0.2">
      <c r="A73" s="177" t="s">
        <v>78</v>
      </c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4"/>
  <sheetViews>
    <sheetView tabSelected="1" topLeftCell="A19" zoomScale="90" zoomScaleNormal="90" workbookViewId="0">
      <selection activeCell="A47" sqref="A47:XFD47"/>
    </sheetView>
  </sheetViews>
  <sheetFormatPr defaultRowHeight="14.25" x14ac:dyDescent="0.2"/>
  <cols>
    <col min="1" max="1" width="57" style="177" customWidth="1"/>
    <col min="2" max="5" width="10.6640625" style="177" bestFit="1" customWidth="1"/>
    <col min="6" max="6" width="10.5" style="177" customWidth="1"/>
    <col min="7" max="7" width="10.6640625" style="177" bestFit="1" customWidth="1"/>
    <col min="8" max="8" width="12.33203125" style="177" bestFit="1" customWidth="1"/>
    <col min="9" max="9" width="25.1640625" style="177" customWidth="1"/>
    <col min="10" max="16384" width="9.33203125" style="177"/>
  </cols>
  <sheetData>
    <row r="1" spans="1:9" ht="20.25" x14ac:dyDescent="0.3">
      <c r="A1" s="97" t="s">
        <v>74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11"/>
      <c r="D2" s="211"/>
      <c r="E2" s="211"/>
      <c r="F2" s="211"/>
      <c r="G2" s="212"/>
      <c r="H2" s="91"/>
      <c r="I2" s="92" t="s">
        <v>3</v>
      </c>
    </row>
    <row r="3" spans="1:9" ht="16.5" x14ac:dyDescent="0.25">
      <c r="A3" s="210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s="193" customFormat="1" ht="16.5" x14ac:dyDescent="0.25">
      <c r="A4" s="32" t="s">
        <v>48</v>
      </c>
      <c r="B4" s="45">
        <f>433+1502</f>
        <v>1935</v>
      </c>
      <c r="C4" s="178">
        <f>1274+376</f>
        <v>1650</v>
      </c>
      <c r="D4" s="178">
        <f>930+3094</f>
        <v>4024</v>
      </c>
      <c r="E4" s="178">
        <f>1952+620</f>
        <v>2572</v>
      </c>
      <c r="F4" s="178">
        <f>391+124</f>
        <v>515</v>
      </c>
      <c r="G4" s="178">
        <f>90+240</f>
        <v>330</v>
      </c>
      <c r="H4" s="36">
        <f>SUM(B4:G4)</f>
        <v>11026</v>
      </c>
      <c r="I4" s="62">
        <f>H4/B$69 * 100000</f>
        <v>413.66761398276077</v>
      </c>
    </row>
    <row r="5" spans="1:9" ht="16.5" x14ac:dyDescent="0.25">
      <c r="A5" s="159" t="s">
        <v>17</v>
      </c>
      <c r="B5" s="160">
        <f>1451+405</f>
        <v>1856</v>
      </c>
      <c r="C5" s="37">
        <f>338+1162</f>
        <v>1500</v>
      </c>
      <c r="D5" s="37">
        <f>2874+843</f>
        <v>3717</v>
      </c>
      <c r="E5" s="37">
        <f>1862+583</f>
        <v>2445</v>
      </c>
      <c r="F5" s="37">
        <f>20+386</f>
        <v>406</v>
      </c>
      <c r="G5" s="37">
        <f>14+235</f>
        <v>249</v>
      </c>
      <c r="H5" s="106">
        <f t="shared" ref="H5:H66" si="0">SUM(B5:G5)</f>
        <v>10173</v>
      </c>
      <c r="I5" s="188">
        <f t="shared" ref="I5:I68" si="1">H5/B$69 * 100000</f>
        <v>381.66521286474017</v>
      </c>
    </row>
    <row r="6" spans="1:9" ht="16.5" x14ac:dyDescent="0.25">
      <c r="A6" s="159" t="s">
        <v>18</v>
      </c>
      <c r="B6" s="165">
        <v>46</v>
      </c>
      <c r="C6" s="37">
        <v>34</v>
      </c>
      <c r="D6" s="37">
        <v>66</v>
      </c>
      <c r="E6" s="37">
        <f>16+28</f>
        <v>44</v>
      </c>
      <c r="F6" s="37">
        <v>1</v>
      </c>
      <c r="G6" s="37">
        <v>4</v>
      </c>
      <c r="H6" s="106">
        <f t="shared" si="0"/>
        <v>195</v>
      </c>
      <c r="I6" s="188">
        <f t="shared" si="1"/>
        <v>7.3159064689496054</v>
      </c>
    </row>
    <row r="7" spans="1:9" ht="16.5" x14ac:dyDescent="0.25">
      <c r="A7" s="159" t="s">
        <v>19</v>
      </c>
      <c r="B7" s="179">
        <v>29</v>
      </c>
      <c r="C7" s="37">
        <f>27+84</f>
        <v>111</v>
      </c>
      <c r="D7" s="37">
        <f>67+168</f>
        <v>235</v>
      </c>
      <c r="E7" s="37">
        <f>20+58</f>
        <v>78</v>
      </c>
      <c r="F7" s="37">
        <v>7</v>
      </c>
      <c r="G7" s="37">
        <v>3</v>
      </c>
      <c r="H7" s="106">
        <f t="shared" si="0"/>
        <v>463</v>
      </c>
      <c r="I7" s="188">
        <f t="shared" si="1"/>
        <v>17.37058818012137</v>
      </c>
    </row>
    <row r="8" spans="1:9" ht="16.5" x14ac:dyDescent="0.25">
      <c r="A8" s="159" t="s">
        <v>58</v>
      </c>
      <c r="B8" s="179">
        <v>4</v>
      </c>
      <c r="C8" s="37">
        <v>5</v>
      </c>
      <c r="D8" s="37">
        <v>6</v>
      </c>
      <c r="E8" s="37">
        <v>5</v>
      </c>
      <c r="F8" s="37"/>
      <c r="G8" s="37">
        <v>2</v>
      </c>
      <c r="H8" s="106">
        <f t="shared" si="0"/>
        <v>22</v>
      </c>
      <c r="I8" s="188">
        <f t="shared" si="1"/>
        <v>0.82538431957380165</v>
      </c>
    </row>
    <row r="9" spans="1:9" s="193" customFormat="1" ht="16.5" x14ac:dyDescent="0.25">
      <c r="A9" s="32" t="s">
        <v>60</v>
      </c>
      <c r="B9" s="32">
        <f>2+48</f>
        <v>50</v>
      </c>
      <c r="C9" s="180">
        <f>4</f>
        <v>4</v>
      </c>
      <c r="D9" s="180">
        <v>17</v>
      </c>
      <c r="E9" s="180">
        <v>14</v>
      </c>
      <c r="F9" s="180">
        <v>4</v>
      </c>
      <c r="G9" s="181">
        <v>5</v>
      </c>
      <c r="H9" s="36">
        <f t="shared" si="0"/>
        <v>94</v>
      </c>
      <c r="I9" s="62">
        <f t="shared" si="1"/>
        <v>3.5266420927244249</v>
      </c>
    </row>
    <row r="10" spans="1:9" ht="16.5" x14ac:dyDescent="0.25">
      <c r="A10" s="159" t="s">
        <v>17</v>
      </c>
      <c r="B10" s="165">
        <v>50</v>
      </c>
      <c r="C10" s="182">
        <v>4</v>
      </c>
      <c r="D10" s="182">
        <v>9</v>
      </c>
      <c r="E10" s="182">
        <v>5</v>
      </c>
      <c r="F10" s="182">
        <v>3</v>
      </c>
      <c r="G10" s="183">
        <v>3</v>
      </c>
      <c r="H10" s="106">
        <f t="shared" si="0"/>
        <v>74</v>
      </c>
      <c r="I10" s="188">
        <f t="shared" si="1"/>
        <v>2.7762927112936961</v>
      </c>
    </row>
    <row r="11" spans="1:9" ht="16.5" x14ac:dyDescent="0.25">
      <c r="A11" s="159" t="s">
        <v>18</v>
      </c>
      <c r="B11" s="179">
        <v>0</v>
      </c>
      <c r="C11" s="96">
        <v>0</v>
      </c>
      <c r="D11" s="96">
        <v>1</v>
      </c>
      <c r="E11" s="96">
        <v>2</v>
      </c>
      <c r="F11" s="96">
        <v>0</v>
      </c>
      <c r="G11" s="184">
        <v>0</v>
      </c>
      <c r="H11" s="106">
        <f>SUM(B11:G11)</f>
        <v>3</v>
      </c>
      <c r="I11" s="189">
        <f t="shared" si="1"/>
        <v>0.1125524072146093</v>
      </c>
    </row>
    <row r="12" spans="1:9" ht="16.5" x14ac:dyDescent="0.25">
      <c r="A12" s="159" t="s">
        <v>19</v>
      </c>
      <c r="B12" s="179">
        <v>0</v>
      </c>
      <c r="C12" s="96">
        <v>0</v>
      </c>
      <c r="D12" s="96">
        <v>0</v>
      </c>
      <c r="E12" s="96">
        <v>0</v>
      </c>
      <c r="F12" s="96">
        <v>0</v>
      </c>
      <c r="G12" s="184">
        <v>0</v>
      </c>
      <c r="H12" s="106">
        <f>SUM(B12:G12)</f>
        <v>0</v>
      </c>
      <c r="I12" s="188">
        <f t="shared" si="1"/>
        <v>0</v>
      </c>
    </row>
    <row r="13" spans="1:9" ht="16.5" x14ac:dyDescent="0.25">
      <c r="A13" s="159" t="s">
        <v>58</v>
      </c>
      <c r="B13" s="179">
        <v>0</v>
      </c>
      <c r="C13" s="96">
        <v>0</v>
      </c>
      <c r="D13" s="96">
        <v>1</v>
      </c>
      <c r="E13" s="96">
        <v>0</v>
      </c>
      <c r="F13" s="96">
        <v>0</v>
      </c>
      <c r="G13" s="184">
        <v>0</v>
      </c>
      <c r="H13" s="106">
        <f>SUM(B13:G13)</f>
        <v>1</v>
      </c>
      <c r="I13" s="189">
        <f t="shared" si="1"/>
        <v>3.7517469071536434E-2</v>
      </c>
    </row>
    <row r="14" spans="1:9" s="193" customFormat="1" ht="16.5" x14ac:dyDescent="0.25">
      <c r="A14" s="32" t="s">
        <v>49</v>
      </c>
      <c r="B14" s="45">
        <f>5395+14654</f>
        <v>20049</v>
      </c>
      <c r="C14" s="185">
        <f>797+2099</f>
        <v>2896</v>
      </c>
      <c r="D14" s="185">
        <f>2026+5886</f>
        <v>7912</v>
      </c>
      <c r="E14" s="185">
        <f>2843+7897</f>
        <v>10740</v>
      </c>
      <c r="F14" s="185">
        <f>1316+3734</f>
        <v>5050</v>
      </c>
      <c r="G14" s="186">
        <f>2513+6917</f>
        <v>9430</v>
      </c>
      <c r="H14" s="36">
        <f t="shared" si="0"/>
        <v>56077</v>
      </c>
      <c r="I14" s="62">
        <f t="shared" si="1"/>
        <v>2103.8671131245487</v>
      </c>
    </row>
    <row r="15" spans="1:9" ht="16.5" x14ac:dyDescent="0.25">
      <c r="A15" s="159" t="s">
        <v>17</v>
      </c>
      <c r="B15" s="179">
        <f>5388+14642</f>
        <v>20030</v>
      </c>
      <c r="C15" s="96">
        <f>796+2099</f>
        <v>2895</v>
      </c>
      <c r="D15" s="96">
        <f>5881+2025</f>
        <v>7906</v>
      </c>
      <c r="E15" s="96">
        <f>7892+2841</f>
        <v>10733</v>
      </c>
      <c r="F15" s="96">
        <f>3733+1316</f>
        <v>5049</v>
      </c>
      <c r="G15" s="184">
        <f>2513+6917</f>
        <v>9430</v>
      </c>
      <c r="H15" s="106">
        <f t="shared" si="0"/>
        <v>56043</v>
      </c>
      <c r="I15" s="188">
        <f t="shared" si="1"/>
        <v>2102.5915191761164</v>
      </c>
    </row>
    <row r="16" spans="1:9" ht="16.5" x14ac:dyDescent="0.25">
      <c r="A16" s="159" t="s">
        <v>18</v>
      </c>
      <c r="B16" s="179">
        <v>4</v>
      </c>
      <c r="C16" s="96">
        <v>0</v>
      </c>
      <c r="D16" s="96">
        <v>1</v>
      </c>
      <c r="E16" s="96">
        <v>2</v>
      </c>
      <c r="F16" s="96">
        <v>0</v>
      </c>
      <c r="G16" s="184">
        <v>0</v>
      </c>
      <c r="H16" s="106">
        <f t="shared" si="0"/>
        <v>7</v>
      </c>
      <c r="I16" s="189">
        <f t="shared" si="1"/>
        <v>0.262622283500755</v>
      </c>
    </row>
    <row r="17" spans="1:9" ht="16.5" x14ac:dyDescent="0.25">
      <c r="A17" s="159" t="s">
        <v>19</v>
      </c>
      <c r="B17" s="179">
        <v>1</v>
      </c>
      <c r="C17" s="96">
        <v>0</v>
      </c>
      <c r="D17" s="96">
        <v>0</v>
      </c>
      <c r="E17" s="96">
        <v>2</v>
      </c>
      <c r="F17" s="96">
        <v>0</v>
      </c>
      <c r="G17" s="184">
        <v>0</v>
      </c>
      <c r="H17" s="106">
        <f>SUM(B17:G17)</f>
        <v>3</v>
      </c>
      <c r="I17" s="189">
        <f t="shared" si="1"/>
        <v>0.1125524072146093</v>
      </c>
    </row>
    <row r="18" spans="1:9" ht="16.5" x14ac:dyDescent="0.25">
      <c r="A18" s="164" t="s">
        <v>58</v>
      </c>
      <c r="B18" s="179">
        <v>14</v>
      </c>
      <c r="C18" s="37">
        <v>1</v>
      </c>
      <c r="D18" s="37">
        <v>5</v>
      </c>
      <c r="E18" s="37">
        <v>3</v>
      </c>
      <c r="F18" s="37">
        <v>1</v>
      </c>
      <c r="G18" s="37">
        <v>0</v>
      </c>
      <c r="H18" s="119">
        <f>SUM(B18:G18)</f>
        <v>24</v>
      </c>
      <c r="I18" s="188">
        <f t="shared" si="1"/>
        <v>0.90041925771687437</v>
      </c>
    </row>
    <row r="19" spans="1:9" s="193" customFormat="1" ht="16.5" x14ac:dyDescent="0.25">
      <c r="A19" s="162" t="s">
        <v>50</v>
      </c>
      <c r="B19" s="45">
        <f>21+53</f>
        <v>74</v>
      </c>
      <c r="C19" s="185">
        <f>11+41</f>
        <v>52</v>
      </c>
      <c r="D19" s="185">
        <f>37+87</f>
        <v>124</v>
      </c>
      <c r="E19" s="185">
        <f>19+57</f>
        <v>76</v>
      </c>
      <c r="F19" s="185">
        <f>4+19</f>
        <v>23</v>
      </c>
      <c r="G19" s="186">
        <v>15</v>
      </c>
      <c r="H19" s="124">
        <f t="shared" si="0"/>
        <v>364</v>
      </c>
      <c r="I19" s="62">
        <f t="shared" si="1"/>
        <v>13.656358742039263</v>
      </c>
    </row>
    <row r="20" spans="1:9" ht="16.5" x14ac:dyDescent="0.25">
      <c r="A20" s="159" t="s">
        <v>17</v>
      </c>
      <c r="B20" s="179">
        <f>48+21</f>
        <v>69</v>
      </c>
      <c r="C20" s="37">
        <f>38+11</f>
        <v>49</v>
      </c>
      <c r="D20" s="37">
        <f>81+35</f>
        <v>116</v>
      </c>
      <c r="E20" s="37">
        <f>49+19</f>
        <v>68</v>
      </c>
      <c r="F20" s="37">
        <f>19+4</f>
        <v>23</v>
      </c>
      <c r="G20" s="37">
        <f>12+1</f>
        <v>13</v>
      </c>
      <c r="H20" s="106">
        <f t="shared" si="0"/>
        <v>338</v>
      </c>
      <c r="I20" s="188">
        <f t="shared" si="1"/>
        <v>12.680904546179315</v>
      </c>
    </row>
    <row r="21" spans="1:9" ht="16.5" x14ac:dyDescent="0.25">
      <c r="A21" s="159" t="s">
        <v>18</v>
      </c>
      <c r="B21" s="179">
        <v>1</v>
      </c>
      <c r="C21" s="37">
        <v>0</v>
      </c>
      <c r="D21" s="37">
        <v>1</v>
      </c>
      <c r="E21" s="37">
        <v>2</v>
      </c>
      <c r="F21" s="37">
        <v>0</v>
      </c>
      <c r="G21" s="37">
        <v>0</v>
      </c>
      <c r="H21" s="106">
        <f t="shared" si="0"/>
        <v>4</v>
      </c>
      <c r="I21" s="189">
        <f t="shared" si="1"/>
        <v>0.15006987628614574</v>
      </c>
    </row>
    <row r="22" spans="1:9" ht="16.5" x14ac:dyDescent="0.25">
      <c r="A22" s="159" t="s">
        <v>19</v>
      </c>
      <c r="B22" s="179">
        <v>0</v>
      </c>
      <c r="C22" s="37">
        <v>2</v>
      </c>
      <c r="D22" s="37">
        <v>0</v>
      </c>
      <c r="E22" s="37">
        <v>2</v>
      </c>
      <c r="F22" s="37">
        <v>0</v>
      </c>
      <c r="G22" s="37">
        <v>0</v>
      </c>
      <c r="H22" s="106">
        <f t="shared" si="0"/>
        <v>4</v>
      </c>
      <c r="I22" s="189">
        <f t="shared" si="1"/>
        <v>0.15006987628614574</v>
      </c>
    </row>
    <row r="23" spans="1:9" ht="16.5" x14ac:dyDescent="0.25">
      <c r="A23" s="164" t="s">
        <v>58</v>
      </c>
      <c r="B23" s="179">
        <v>4</v>
      </c>
      <c r="C23" s="37">
        <v>1</v>
      </c>
      <c r="D23" s="37">
        <v>7</v>
      </c>
      <c r="E23" s="37">
        <v>4</v>
      </c>
      <c r="F23" s="37">
        <v>0</v>
      </c>
      <c r="G23" s="37">
        <v>2</v>
      </c>
      <c r="H23" s="119">
        <f t="shared" si="0"/>
        <v>18</v>
      </c>
      <c r="I23" s="188">
        <f t="shared" si="1"/>
        <v>0.67531444328765577</v>
      </c>
    </row>
    <row r="24" spans="1:9" s="193" customFormat="1" ht="16.5" x14ac:dyDescent="0.25">
      <c r="A24" s="162" t="s">
        <v>51</v>
      </c>
      <c r="B24" s="45">
        <f>163+470</f>
        <v>633</v>
      </c>
      <c r="C24" s="185">
        <f>56+181</f>
        <v>237</v>
      </c>
      <c r="D24" s="185">
        <f>464+141</f>
        <v>605</v>
      </c>
      <c r="E24" s="185">
        <f>362+117</f>
        <v>479</v>
      </c>
      <c r="F24" s="185">
        <f>89+23</f>
        <v>112</v>
      </c>
      <c r="G24" s="186">
        <f>49+15</f>
        <v>64</v>
      </c>
      <c r="H24" s="124">
        <f t="shared" si="0"/>
        <v>2130</v>
      </c>
      <c r="I24" s="62">
        <f t="shared" si="1"/>
        <v>79.912209122372602</v>
      </c>
    </row>
    <row r="25" spans="1:9" ht="16.5" x14ac:dyDescent="0.25">
      <c r="A25" s="159" t="s">
        <v>17</v>
      </c>
      <c r="B25" s="179">
        <f>153+467</f>
        <v>620</v>
      </c>
      <c r="C25" s="37">
        <f>53+180</f>
        <v>233</v>
      </c>
      <c r="D25" s="37">
        <f>133+458</f>
        <v>591</v>
      </c>
      <c r="E25" s="37">
        <f>114+357</f>
        <v>471</v>
      </c>
      <c r="F25" s="37">
        <f>20+89</f>
        <v>109</v>
      </c>
      <c r="G25" s="37">
        <f>14+49</f>
        <v>63</v>
      </c>
      <c r="H25" s="106">
        <f>SUM(B25:G25)</f>
        <v>2087</v>
      </c>
      <c r="I25" s="188">
        <f t="shared" si="1"/>
        <v>78.298957952296547</v>
      </c>
    </row>
    <row r="26" spans="1:9" ht="16.5" x14ac:dyDescent="0.25">
      <c r="A26" s="159" t="s">
        <v>18</v>
      </c>
      <c r="B26" s="179">
        <v>2</v>
      </c>
      <c r="C26" s="37">
        <v>1</v>
      </c>
      <c r="D26" s="37">
        <v>3</v>
      </c>
      <c r="E26" s="37">
        <v>0</v>
      </c>
      <c r="F26" s="37">
        <v>0</v>
      </c>
      <c r="G26" s="37">
        <v>0</v>
      </c>
      <c r="H26" s="106">
        <f>SUM(B26:G26)</f>
        <v>6</v>
      </c>
      <c r="I26" s="189">
        <f t="shared" si="1"/>
        <v>0.22510481442921859</v>
      </c>
    </row>
    <row r="27" spans="1:9" ht="16.5" x14ac:dyDescent="0.25">
      <c r="A27" s="159" t="s">
        <v>19</v>
      </c>
      <c r="B27" s="179">
        <v>0</v>
      </c>
      <c r="C27" s="37">
        <v>0</v>
      </c>
      <c r="D27" s="37">
        <v>5</v>
      </c>
      <c r="E27" s="37">
        <v>2</v>
      </c>
      <c r="F27" s="37">
        <v>0</v>
      </c>
      <c r="G27" s="37">
        <v>0</v>
      </c>
      <c r="H27" s="106">
        <f>SUM(B27:G27)</f>
        <v>7</v>
      </c>
      <c r="I27" s="189">
        <f t="shared" si="1"/>
        <v>0.262622283500755</v>
      </c>
    </row>
    <row r="28" spans="1:9" ht="16.5" x14ac:dyDescent="0.25">
      <c r="A28" s="159" t="s">
        <v>58</v>
      </c>
      <c r="B28" s="179">
        <v>11</v>
      </c>
      <c r="C28" s="37">
        <v>2</v>
      </c>
      <c r="D28" s="37">
        <v>6</v>
      </c>
      <c r="E28" s="37">
        <v>3</v>
      </c>
      <c r="F28" s="37">
        <v>0</v>
      </c>
      <c r="G28" s="37">
        <v>0</v>
      </c>
      <c r="H28" s="131">
        <f t="shared" si="0"/>
        <v>22</v>
      </c>
      <c r="I28" s="188">
        <f t="shared" si="1"/>
        <v>0.82538431957380165</v>
      </c>
    </row>
    <row r="29" spans="1:9" s="193" customFormat="1" ht="16.5" x14ac:dyDescent="0.25">
      <c r="A29" s="32" t="s">
        <v>52</v>
      </c>
      <c r="B29" s="45">
        <f>55+19</f>
        <v>74</v>
      </c>
      <c r="C29" s="185">
        <f>148+52</f>
        <v>200</v>
      </c>
      <c r="D29" s="185">
        <f>123+60</f>
        <v>183</v>
      </c>
      <c r="E29" s="185">
        <f>40+13</f>
        <v>53</v>
      </c>
      <c r="F29" s="185">
        <v>8</v>
      </c>
      <c r="G29" s="186">
        <v>5</v>
      </c>
      <c r="H29" s="36">
        <f t="shared" si="0"/>
        <v>523</v>
      </c>
      <c r="I29" s="62">
        <f t="shared" si="1"/>
        <v>19.621636324413554</v>
      </c>
    </row>
    <row r="30" spans="1:9" ht="16.5" x14ac:dyDescent="0.25">
      <c r="A30" s="159" t="s">
        <v>17</v>
      </c>
      <c r="B30" s="179">
        <f>36+13</f>
        <v>49</v>
      </c>
      <c r="C30" s="37">
        <f>83+30</f>
        <v>113</v>
      </c>
      <c r="D30" s="37">
        <f>72+34</f>
        <v>106</v>
      </c>
      <c r="E30" s="37">
        <f>25+10</f>
        <v>35</v>
      </c>
      <c r="F30" s="37">
        <f>4+1</f>
        <v>5</v>
      </c>
      <c r="G30" s="37">
        <f>1+1</f>
        <v>2</v>
      </c>
      <c r="H30" s="106">
        <f t="shared" si="0"/>
        <v>310</v>
      </c>
      <c r="I30" s="188">
        <f t="shared" si="1"/>
        <v>11.630415412176294</v>
      </c>
    </row>
    <row r="31" spans="1:9" ht="16.5" x14ac:dyDescent="0.25">
      <c r="A31" s="159" t="s">
        <v>18</v>
      </c>
      <c r="B31" s="179">
        <v>0</v>
      </c>
      <c r="C31" s="37">
        <v>1</v>
      </c>
      <c r="D31" s="37">
        <v>1</v>
      </c>
      <c r="E31" s="37">
        <v>3</v>
      </c>
      <c r="F31" s="37">
        <v>1</v>
      </c>
      <c r="G31" s="37">
        <v>2</v>
      </c>
      <c r="H31" s="106">
        <f t="shared" si="0"/>
        <v>8</v>
      </c>
      <c r="I31" s="189">
        <f t="shared" si="1"/>
        <v>0.30013975257229147</v>
      </c>
    </row>
    <row r="32" spans="1:9" ht="16.5" x14ac:dyDescent="0.25">
      <c r="A32" s="159" t="s">
        <v>19</v>
      </c>
      <c r="B32" s="179">
        <f>5+19</f>
        <v>24</v>
      </c>
      <c r="C32" s="37">
        <f>19+58</f>
        <v>77</v>
      </c>
      <c r="D32" s="37">
        <f>22+47</f>
        <v>69</v>
      </c>
      <c r="E32" s="37">
        <f>1+14</f>
        <v>15</v>
      </c>
      <c r="F32" s="37">
        <v>1</v>
      </c>
      <c r="G32" s="37">
        <v>1</v>
      </c>
      <c r="H32" s="106">
        <f t="shared" si="0"/>
        <v>187</v>
      </c>
      <c r="I32" s="188">
        <f t="shared" si="1"/>
        <v>7.0157667163773132</v>
      </c>
    </row>
    <row r="33" spans="1:9" ht="16.5" x14ac:dyDescent="0.25">
      <c r="A33" s="160" t="s">
        <v>58</v>
      </c>
      <c r="B33" s="179">
        <v>1</v>
      </c>
      <c r="C33" s="37">
        <v>3</v>
      </c>
      <c r="D33" s="37">
        <v>4</v>
      </c>
      <c r="E33" s="37">
        <v>0</v>
      </c>
      <c r="F33" s="37">
        <v>1</v>
      </c>
      <c r="G33" s="37">
        <v>0</v>
      </c>
      <c r="H33" s="106">
        <f t="shared" si="0"/>
        <v>9</v>
      </c>
      <c r="I33" s="189">
        <f t="shared" si="1"/>
        <v>0.33765722164382789</v>
      </c>
    </row>
    <row r="34" spans="1:9" s="193" customFormat="1" ht="16.5" x14ac:dyDescent="0.25">
      <c r="A34" s="39" t="s">
        <v>12</v>
      </c>
      <c r="B34" s="45">
        <v>29</v>
      </c>
      <c r="C34" s="185">
        <v>44</v>
      </c>
      <c r="D34" s="185">
        <f>96+117</f>
        <v>213</v>
      </c>
      <c r="E34" s="185">
        <f>95+131</f>
        <v>226</v>
      </c>
      <c r="F34" s="185">
        <v>28</v>
      </c>
      <c r="G34" s="186">
        <v>11</v>
      </c>
      <c r="H34" s="44">
        <f t="shared" si="0"/>
        <v>551</v>
      </c>
      <c r="I34" s="62">
        <f t="shared" si="1"/>
        <v>20.672125458416573</v>
      </c>
    </row>
    <row r="35" spans="1:9" s="193" customFormat="1" ht="16.5" x14ac:dyDescent="0.25">
      <c r="A35" s="32" t="s">
        <v>53</v>
      </c>
      <c r="B35" s="45">
        <f>1760+703</f>
        <v>2463</v>
      </c>
      <c r="C35" s="185">
        <f>3095+1196</f>
        <v>4291</v>
      </c>
      <c r="D35" s="185">
        <f>2106+5704</f>
        <v>7810</v>
      </c>
      <c r="E35" s="185">
        <f>1287+3603</f>
        <v>4890</v>
      </c>
      <c r="F35" s="185">
        <f>294+788</f>
        <v>1082</v>
      </c>
      <c r="G35" s="186">
        <f>172+573</f>
        <v>745</v>
      </c>
      <c r="H35" s="36">
        <f t="shared" ref="H35" si="2">SUM(H36+H42+H43+H44)</f>
        <v>21281</v>
      </c>
      <c r="I35" s="62">
        <f t="shared" si="1"/>
        <v>798.4092593113669</v>
      </c>
    </row>
    <row r="36" spans="1:9" ht="16.5" x14ac:dyDescent="0.25">
      <c r="A36" s="159" t="s">
        <v>17</v>
      </c>
      <c r="B36" s="179">
        <f>700+1760</f>
        <v>2460</v>
      </c>
      <c r="C36" s="37">
        <f>1194+3095</f>
        <v>4289</v>
      </c>
      <c r="D36" s="37">
        <f>2093+5704</f>
        <v>7797</v>
      </c>
      <c r="E36" s="37">
        <f>1280+3603</f>
        <v>4883</v>
      </c>
      <c r="F36" s="37">
        <f>293+788</f>
        <v>1081</v>
      </c>
      <c r="G36" s="37">
        <f>172+573</f>
        <v>745</v>
      </c>
      <c r="H36" s="106">
        <f t="shared" si="0"/>
        <v>21255</v>
      </c>
      <c r="I36" s="188">
        <f t="shared" si="1"/>
        <v>797.43380511550686</v>
      </c>
    </row>
    <row r="37" spans="1:9" ht="16.5" x14ac:dyDescent="0.25">
      <c r="A37" s="159" t="s">
        <v>24</v>
      </c>
      <c r="B37" s="179">
        <f>1393+461</f>
        <v>1854</v>
      </c>
      <c r="C37" s="37">
        <f>2379+871</f>
        <v>3250</v>
      </c>
      <c r="D37" s="37">
        <f>4362+1532</f>
        <v>5894</v>
      </c>
      <c r="E37" s="37">
        <f>2762+928</f>
        <v>3690</v>
      </c>
      <c r="F37" s="37">
        <f>623+214</f>
        <v>837</v>
      </c>
      <c r="G37" s="37">
        <f>442+135</f>
        <v>577</v>
      </c>
      <c r="H37" s="106">
        <f t="shared" si="0"/>
        <v>16102</v>
      </c>
      <c r="I37" s="188">
        <f t="shared" si="1"/>
        <v>604.10628698987966</v>
      </c>
    </row>
    <row r="38" spans="1:9" ht="16.5" x14ac:dyDescent="0.25">
      <c r="A38" s="159" t="s">
        <v>25</v>
      </c>
      <c r="B38" s="179">
        <f>16+61</f>
        <v>77</v>
      </c>
      <c r="C38" s="37">
        <f>79+2469</f>
        <v>2548</v>
      </c>
      <c r="D38" s="37">
        <f>127+356</f>
        <v>483</v>
      </c>
      <c r="E38" s="37">
        <f>50+108</f>
        <v>158</v>
      </c>
      <c r="F38" s="37">
        <f>7+25</f>
        <v>32</v>
      </c>
      <c r="G38" s="37">
        <f>4+6</f>
        <v>10</v>
      </c>
      <c r="H38" s="106">
        <f t="shared" si="0"/>
        <v>3308</v>
      </c>
      <c r="I38" s="188">
        <f t="shared" si="1"/>
        <v>124.10778768864252</v>
      </c>
    </row>
    <row r="39" spans="1:9" ht="16.5" x14ac:dyDescent="0.25">
      <c r="A39" s="159" t="s">
        <v>26</v>
      </c>
      <c r="B39" s="179">
        <f>49+80</f>
        <v>129</v>
      </c>
      <c r="C39" s="37">
        <f>70+53</f>
        <v>123</v>
      </c>
      <c r="D39" s="37">
        <f>137+85</f>
        <v>222</v>
      </c>
      <c r="E39" s="37">
        <f>85+81</f>
        <v>166</v>
      </c>
      <c r="F39" s="37">
        <f>14+14</f>
        <v>28</v>
      </c>
      <c r="G39" s="37">
        <f>7+3</f>
        <v>10</v>
      </c>
      <c r="H39" s="106">
        <f t="shared" si="0"/>
        <v>678</v>
      </c>
      <c r="I39" s="188">
        <f t="shared" si="1"/>
        <v>25.436844030501703</v>
      </c>
    </row>
    <row r="40" spans="1:9" ht="16.5" x14ac:dyDescent="0.25">
      <c r="A40" s="159" t="s">
        <v>27</v>
      </c>
      <c r="B40" s="179">
        <f>22+119</f>
        <v>141</v>
      </c>
      <c r="C40" s="37">
        <f>15+107</f>
        <v>122</v>
      </c>
      <c r="D40" s="37">
        <f>39+198</f>
        <v>237</v>
      </c>
      <c r="E40" s="37">
        <f>44+195</f>
        <v>239</v>
      </c>
      <c r="F40" s="37">
        <f>11+48</f>
        <v>59</v>
      </c>
      <c r="G40" s="37">
        <f>7+47</f>
        <v>54</v>
      </c>
      <c r="H40" s="106">
        <f t="shared" si="0"/>
        <v>852</v>
      </c>
      <c r="I40" s="188">
        <f t="shared" si="1"/>
        <v>31.964883648949044</v>
      </c>
    </row>
    <row r="41" spans="1:9" ht="16.5" x14ac:dyDescent="0.25">
      <c r="A41" s="159" t="s">
        <v>28</v>
      </c>
      <c r="B41" s="179">
        <f>118+87</f>
        <v>205</v>
      </c>
      <c r="C41" s="37">
        <f>268+120</f>
        <v>388</v>
      </c>
      <c r="D41" s="37">
        <f>606+239</f>
        <v>845</v>
      </c>
      <c r="E41" s="37">
        <f>382+128</f>
        <v>510</v>
      </c>
      <c r="F41" s="37">
        <f>75+38</f>
        <v>113</v>
      </c>
      <c r="G41" s="37">
        <f>67+14</f>
        <v>81</v>
      </c>
      <c r="H41" s="106">
        <f t="shared" si="0"/>
        <v>2142</v>
      </c>
      <c r="I41" s="188">
        <f t="shared" si="1"/>
        <v>80.362418751231047</v>
      </c>
    </row>
    <row r="42" spans="1:9" ht="16.5" x14ac:dyDescent="0.25">
      <c r="A42" s="159" t="s">
        <v>18</v>
      </c>
      <c r="B42" s="179">
        <v>0</v>
      </c>
      <c r="C42" s="37">
        <v>2</v>
      </c>
      <c r="D42" s="37">
        <v>3</v>
      </c>
      <c r="E42" s="37">
        <v>3</v>
      </c>
      <c r="F42" s="37">
        <v>0</v>
      </c>
      <c r="G42" s="37">
        <v>0</v>
      </c>
      <c r="H42" s="106">
        <f t="shared" si="0"/>
        <v>8</v>
      </c>
      <c r="I42" s="189">
        <f t="shared" si="1"/>
        <v>0.30013975257229147</v>
      </c>
    </row>
    <row r="43" spans="1:9" ht="16.5" x14ac:dyDescent="0.25">
      <c r="A43" s="159" t="s">
        <v>19</v>
      </c>
      <c r="B43" s="179">
        <v>0</v>
      </c>
      <c r="C43" s="37">
        <v>0</v>
      </c>
      <c r="D43" s="37">
        <v>1</v>
      </c>
      <c r="E43" s="37">
        <v>2</v>
      </c>
      <c r="F43" s="37">
        <v>0</v>
      </c>
      <c r="G43" s="37">
        <v>0</v>
      </c>
      <c r="H43" s="106">
        <f>SUM(B43:G43)</f>
        <v>3</v>
      </c>
      <c r="I43" s="189">
        <f t="shared" si="1"/>
        <v>0.1125524072146093</v>
      </c>
    </row>
    <row r="44" spans="1:9" ht="16.5" x14ac:dyDescent="0.25">
      <c r="A44" s="159" t="s">
        <v>58</v>
      </c>
      <c r="B44" s="179">
        <v>3</v>
      </c>
      <c r="C44" s="37">
        <v>0</v>
      </c>
      <c r="D44" s="37">
        <v>9</v>
      </c>
      <c r="E44" s="37">
        <v>2</v>
      </c>
      <c r="F44" s="37">
        <v>1</v>
      </c>
      <c r="G44" s="37">
        <v>0</v>
      </c>
      <c r="H44" s="141">
        <f>SUM(B44:G44)</f>
        <v>15</v>
      </c>
      <c r="I44" s="189">
        <f t="shared" si="1"/>
        <v>0.56276203607304653</v>
      </c>
    </row>
    <row r="45" spans="1:9" s="193" customFormat="1" ht="16.5" x14ac:dyDescent="0.25">
      <c r="A45" s="39" t="s">
        <v>32</v>
      </c>
      <c r="B45" s="45">
        <f>65+582</f>
        <v>647</v>
      </c>
      <c r="C45" s="185">
        <f>24+140</f>
        <v>164</v>
      </c>
      <c r="D45" s="185">
        <f>47+359</f>
        <v>406</v>
      </c>
      <c r="E45" s="185">
        <f>41+326</f>
        <v>367</v>
      </c>
      <c r="F45" s="185">
        <f>5+60</f>
        <v>65</v>
      </c>
      <c r="G45" s="186">
        <f>3+24</f>
        <v>27</v>
      </c>
      <c r="H45" s="44">
        <f t="shared" si="0"/>
        <v>1676</v>
      </c>
      <c r="I45" s="62">
        <f t="shared" si="1"/>
        <v>62.879278163895059</v>
      </c>
    </row>
    <row r="46" spans="1:9" s="193" customFormat="1" ht="16.5" x14ac:dyDescent="0.25">
      <c r="A46" s="39" t="s">
        <v>33</v>
      </c>
      <c r="B46" s="45">
        <f>14+22</f>
        <v>36</v>
      </c>
      <c r="C46" s="185">
        <v>25</v>
      </c>
      <c r="D46" s="185">
        <v>45</v>
      </c>
      <c r="E46" s="185">
        <f>13+47</f>
        <v>60</v>
      </c>
      <c r="F46" s="185">
        <v>9</v>
      </c>
      <c r="G46" s="186">
        <v>10</v>
      </c>
      <c r="H46" s="44">
        <f t="shared" si="0"/>
        <v>185</v>
      </c>
      <c r="I46" s="62">
        <f t="shared" si="1"/>
        <v>6.9407317782342401</v>
      </c>
    </row>
    <row r="47" spans="1:9" s="193" customFormat="1" ht="16.5" x14ac:dyDescent="0.25">
      <c r="A47" s="32" t="s">
        <v>47</v>
      </c>
      <c r="B47" s="196">
        <f>18+149+47</f>
        <v>214</v>
      </c>
      <c r="C47" s="178">
        <f>8+113+36</f>
        <v>157</v>
      </c>
      <c r="D47" s="178">
        <f>197+27+51</f>
        <v>275</v>
      </c>
      <c r="E47" s="178">
        <f>14+118+19</f>
        <v>151</v>
      </c>
      <c r="F47" s="178">
        <f>22+4+2</f>
        <v>28</v>
      </c>
      <c r="G47" s="178">
        <f>3+18+5</f>
        <v>26</v>
      </c>
      <c r="H47" s="36">
        <f t="shared" si="0"/>
        <v>851</v>
      </c>
      <c r="I47" s="62">
        <f t="shared" si="1"/>
        <v>31.927366179877502</v>
      </c>
    </row>
    <row r="48" spans="1:9" ht="16.5" x14ac:dyDescent="0.25">
      <c r="A48" s="159" t="s">
        <v>17</v>
      </c>
      <c r="B48" s="179">
        <f>18+149+47</f>
        <v>214</v>
      </c>
      <c r="C48" s="37">
        <f>8+113+36</f>
        <v>157</v>
      </c>
      <c r="D48" s="37">
        <f>197+27+51</f>
        <v>275</v>
      </c>
      <c r="E48" s="37">
        <f>14+118+19</f>
        <v>151</v>
      </c>
      <c r="F48" s="37">
        <f>22+4+2</f>
        <v>28</v>
      </c>
      <c r="G48" s="37">
        <f>3+18+5</f>
        <v>26</v>
      </c>
      <c r="H48" s="106">
        <f t="shared" si="0"/>
        <v>851</v>
      </c>
      <c r="I48" s="188">
        <f t="shared" si="1"/>
        <v>31.927366179877502</v>
      </c>
    </row>
    <row r="49" spans="1:9" ht="16.5" x14ac:dyDescent="0.25">
      <c r="A49" s="160" t="s">
        <v>18</v>
      </c>
      <c r="B49" s="179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112">
        <f t="shared" si="0"/>
        <v>0</v>
      </c>
      <c r="I49" s="188">
        <f t="shared" si="1"/>
        <v>0</v>
      </c>
    </row>
    <row r="50" spans="1:9" ht="16.5" x14ac:dyDescent="0.25">
      <c r="A50" s="159" t="s">
        <v>19</v>
      </c>
      <c r="B50" s="179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112">
        <f t="shared" si="0"/>
        <v>0</v>
      </c>
      <c r="I50" s="188">
        <f t="shared" si="1"/>
        <v>0</v>
      </c>
    </row>
    <row r="51" spans="1:9" ht="16.5" x14ac:dyDescent="0.25">
      <c r="A51" s="159" t="s">
        <v>58</v>
      </c>
      <c r="B51" s="179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119">
        <f t="shared" si="0"/>
        <v>0</v>
      </c>
      <c r="I51" s="188">
        <f t="shared" si="1"/>
        <v>0</v>
      </c>
    </row>
    <row r="52" spans="1:9" s="193" customFormat="1" ht="16.5" x14ac:dyDescent="0.25">
      <c r="A52" s="45" t="s">
        <v>79</v>
      </c>
      <c r="B52" s="45">
        <f>2983+43</f>
        <v>3026</v>
      </c>
      <c r="C52" s="185">
        <f>587+8</f>
        <v>595</v>
      </c>
      <c r="D52" s="185">
        <f>1204+19</f>
        <v>1223</v>
      </c>
      <c r="E52" s="185">
        <f>1014+25</f>
        <v>1039</v>
      </c>
      <c r="F52" s="185">
        <f>224+11</f>
        <v>235</v>
      </c>
      <c r="G52" s="186">
        <f>9+183</f>
        <v>192</v>
      </c>
      <c r="H52" s="50">
        <f>SUM(B52:G52)</f>
        <v>6310</v>
      </c>
      <c r="I52" s="62">
        <f t="shared" si="1"/>
        <v>236.7352298413949</v>
      </c>
    </row>
    <row r="53" spans="1:9" s="193" customFormat="1" ht="16.5" x14ac:dyDescent="0.25">
      <c r="A53" s="39" t="s">
        <v>11</v>
      </c>
      <c r="B53" s="45">
        <f>2866+45</f>
        <v>2911</v>
      </c>
      <c r="C53" s="185">
        <f>1410+13</f>
        <v>1423</v>
      </c>
      <c r="D53" s="185">
        <f>3572+59</f>
        <v>3631</v>
      </c>
      <c r="E53" s="185">
        <f>2527+49</f>
        <v>2576</v>
      </c>
      <c r="F53" s="185">
        <f>463+17</f>
        <v>480</v>
      </c>
      <c r="G53" s="186">
        <f>250+25</f>
        <v>275</v>
      </c>
      <c r="H53" s="44">
        <f>SUM(B53:G53)</f>
        <v>11296</v>
      </c>
      <c r="I53" s="62">
        <f t="shared" si="1"/>
        <v>423.79733063207561</v>
      </c>
    </row>
    <row r="54" spans="1:9" s="193" customFormat="1" ht="16.5" x14ac:dyDescent="0.25">
      <c r="A54" s="32" t="s">
        <v>45</v>
      </c>
      <c r="B54" s="196">
        <f>143+82+731</f>
        <v>956</v>
      </c>
      <c r="C54" s="178">
        <f>273+65+48</f>
        <v>386</v>
      </c>
      <c r="D54" s="178">
        <f>527+160+105</f>
        <v>792</v>
      </c>
      <c r="E54" s="178">
        <f>377+197</f>
        <v>574</v>
      </c>
      <c r="F54" s="178">
        <f>88+47</f>
        <v>135</v>
      </c>
      <c r="G54" s="178">
        <f>94+60</f>
        <v>154</v>
      </c>
      <c r="H54" s="44">
        <f>SUM(B54:G54)</f>
        <v>2997</v>
      </c>
      <c r="I54" s="62">
        <f t="shared" si="1"/>
        <v>112.43985480739468</v>
      </c>
    </row>
    <row r="55" spans="1:9" ht="16.5" x14ac:dyDescent="0.25">
      <c r="A55" s="159" t="s">
        <v>1</v>
      </c>
      <c r="B55" s="179">
        <f>108+77+492</f>
        <v>677</v>
      </c>
      <c r="C55" s="37">
        <f>38+44+116</f>
        <v>198</v>
      </c>
      <c r="D55" s="37">
        <f>92+95+226</f>
        <v>413</v>
      </c>
      <c r="E55" s="37">
        <f>71+95+199</f>
        <v>365</v>
      </c>
      <c r="F55" s="37">
        <f>39+62</f>
        <v>101</v>
      </c>
      <c r="G55" s="37">
        <f>70+65</f>
        <v>135</v>
      </c>
      <c r="H55" s="106">
        <f t="shared" si="0"/>
        <v>1889</v>
      </c>
      <c r="I55" s="188">
        <f t="shared" si="1"/>
        <v>70.870499076132319</v>
      </c>
    </row>
    <row r="56" spans="1:9" ht="16.5" x14ac:dyDescent="0.25">
      <c r="A56" s="159" t="s">
        <v>22</v>
      </c>
      <c r="B56" s="179">
        <f>169+37</f>
        <v>206</v>
      </c>
      <c r="C56" s="37">
        <f>95+27</f>
        <v>122</v>
      </c>
      <c r="D56" s="37">
        <f>144+55</f>
        <v>199</v>
      </c>
      <c r="E56" s="37">
        <f>83+26</f>
        <v>109</v>
      </c>
      <c r="F56" s="37">
        <f>8+6</f>
        <v>14</v>
      </c>
      <c r="G56" s="37">
        <f>13+3</f>
        <v>16</v>
      </c>
      <c r="H56" s="106">
        <f t="shared" si="0"/>
        <v>666</v>
      </c>
      <c r="I56" s="188">
        <f t="shared" si="1"/>
        <v>24.986634401643265</v>
      </c>
    </row>
    <row r="57" spans="1:9" ht="16.5" x14ac:dyDescent="0.25">
      <c r="A57" s="159" t="s">
        <v>23</v>
      </c>
      <c r="B57" s="179">
        <v>3</v>
      </c>
      <c r="C57" s="37">
        <v>2</v>
      </c>
      <c r="D57" s="37">
        <v>8</v>
      </c>
      <c r="E57" s="37">
        <v>0</v>
      </c>
      <c r="F57" s="37">
        <v>0</v>
      </c>
      <c r="G57" s="37">
        <v>0</v>
      </c>
      <c r="H57" s="106">
        <f>SUM(B57:G57)</f>
        <v>13</v>
      </c>
      <c r="I57" s="189">
        <f t="shared" si="1"/>
        <v>0.48772709792997365</v>
      </c>
    </row>
    <row r="58" spans="1:9" ht="16.5" x14ac:dyDescent="0.25">
      <c r="A58" s="159" t="s">
        <v>59</v>
      </c>
      <c r="B58" s="179">
        <f>1+69</f>
        <v>70</v>
      </c>
      <c r="C58" s="37">
        <f>3+61</f>
        <v>64</v>
      </c>
      <c r="D58" s="37">
        <f>17+154</f>
        <v>171</v>
      </c>
      <c r="E58" s="37">
        <f>5+95</f>
        <v>100</v>
      </c>
      <c r="F58" s="37">
        <v>20</v>
      </c>
      <c r="G58" s="37">
        <v>17</v>
      </c>
      <c r="H58" s="106">
        <f t="shared" si="0"/>
        <v>442</v>
      </c>
      <c r="I58" s="188">
        <f t="shared" si="1"/>
        <v>16.582721329619105</v>
      </c>
    </row>
    <row r="59" spans="1:9" s="193" customFormat="1" ht="16.5" x14ac:dyDescent="0.25">
      <c r="A59" s="32" t="s">
        <v>42</v>
      </c>
      <c r="B59" s="45">
        <f>6776+2384</f>
        <v>9160</v>
      </c>
      <c r="C59" s="185">
        <f>2265+795</f>
        <v>3060</v>
      </c>
      <c r="D59" s="185">
        <f>1526+4269</f>
        <v>5795</v>
      </c>
      <c r="E59" s="185">
        <f>2594+985</f>
        <v>3579</v>
      </c>
      <c r="F59" s="185">
        <f>485+223</f>
        <v>708</v>
      </c>
      <c r="G59" s="186">
        <f>406+197</f>
        <v>603</v>
      </c>
      <c r="H59" s="36">
        <f t="shared" si="0"/>
        <v>22905</v>
      </c>
      <c r="I59" s="62">
        <f t="shared" si="1"/>
        <v>859.33762908354197</v>
      </c>
    </row>
    <row r="60" spans="1:9" ht="16.5" x14ac:dyDescent="0.25">
      <c r="A60" s="159" t="s">
        <v>1</v>
      </c>
      <c r="B60" s="192">
        <f>2237+6438</f>
        <v>8675</v>
      </c>
      <c r="C60" s="194">
        <f>581+1704</f>
        <v>2285</v>
      </c>
      <c r="D60" s="194">
        <f>1133+3292</f>
        <v>4425</v>
      </c>
      <c r="E60" s="194">
        <f>802+2165</f>
        <v>2967</v>
      </c>
      <c r="F60" s="194">
        <f>200+443</f>
        <v>643</v>
      </c>
      <c r="G60" s="195">
        <f>193+338</f>
        <v>531</v>
      </c>
      <c r="H60" s="106">
        <f t="shared" si="0"/>
        <v>19526</v>
      </c>
      <c r="I60" s="188">
        <f t="shared" si="1"/>
        <v>732.56610109082044</v>
      </c>
    </row>
    <row r="61" spans="1:9" ht="16.5" x14ac:dyDescent="0.25">
      <c r="A61" s="159" t="s">
        <v>22</v>
      </c>
      <c r="B61" s="179">
        <v>0</v>
      </c>
      <c r="C61" s="37">
        <v>1</v>
      </c>
      <c r="D61" s="37">
        <v>1</v>
      </c>
      <c r="E61" s="37">
        <v>2</v>
      </c>
      <c r="F61" s="37">
        <v>0</v>
      </c>
      <c r="G61" s="37">
        <v>0</v>
      </c>
      <c r="H61" s="106">
        <f t="shared" si="0"/>
        <v>4</v>
      </c>
      <c r="I61" s="189">
        <f t="shared" si="1"/>
        <v>0.15006987628614574</v>
      </c>
    </row>
    <row r="62" spans="1:9" ht="16.5" x14ac:dyDescent="0.25">
      <c r="A62" s="159" t="s">
        <v>23</v>
      </c>
      <c r="B62" s="179">
        <f>143+275</f>
        <v>418</v>
      </c>
      <c r="C62" s="37">
        <f>207+523</f>
        <v>730</v>
      </c>
      <c r="D62" s="37">
        <f>384+913</f>
        <v>1297</v>
      </c>
      <c r="E62" s="37">
        <f>176+406</f>
        <v>582</v>
      </c>
      <c r="F62" s="37">
        <f>23+42</f>
        <v>65</v>
      </c>
      <c r="G62" s="37">
        <f>4+17</f>
        <v>21</v>
      </c>
      <c r="H62" s="131">
        <f>SUM(B62:G62)</f>
        <v>3113</v>
      </c>
      <c r="I62" s="188">
        <f t="shared" si="1"/>
        <v>116.79188121969293</v>
      </c>
    </row>
    <row r="63" spans="1:9" ht="16.5" x14ac:dyDescent="0.25">
      <c r="A63" s="159" t="s">
        <v>59</v>
      </c>
      <c r="B63" s="179">
        <v>88</v>
      </c>
      <c r="C63" s="37">
        <v>102</v>
      </c>
      <c r="D63" s="37">
        <f>154+64+17</f>
        <v>235</v>
      </c>
      <c r="E63" s="37">
        <f>95+23+5</f>
        <v>123</v>
      </c>
      <c r="F63" s="37">
        <f>18+2</f>
        <v>20</v>
      </c>
      <c r="G63" s="37">
        <f>17+1</f>
        <v>18</v>
      </c>
      <c r="H63" s="106">
        <f t="shared" si="0"/>
        <v>586</v>
      </c>
      <c r="I63" s="188">
        <f t="shared" si="1"/>
        <v>21.98523687592035</v>
      </c>
    </row>
    <row r="64" spans="1:9" s="193" customFormat="1" ht="16.5" x14ac:dyDescent="0.25">
      <c r="A64" s="32" t="s">
        <v>41</v>
      </c>
      <c r="B64" s="45">
        <f>16+12</f>
        <v>28</v>
      </c>
      <c r="C64" s="185">
        <f>4+2</f>
        <v>6</v>
      </c>
      <c r="D64" s="185">
        <f>16+6</f>
        <v>22</v>
      </c>
      <c r="E64" s="185">
        <f>14+4</f>
        <v>18</v>
      </c>
      <c r="F64" s="185">
        <v>5</v>
      </c>
      <c r="G64" s="186">
        <v>7</v>
      </c>
      <c r="H64" s="36">
        <f t="shared" si="0"/>
        <v>86</v>
      </c>
      <c r="I64" s="62">
        <f t="shared" si="1"/>
        <v>3.2265023401521331</v>
      </c>
    </row>
    <row r="65" spans="1:9" ht="16.5" x14ac:dyDescent="0.25">
      <c r="A65" s="159" t="s">
        <v>17</v>
      </c>
      <c r="B65" s="179">
        <f>8+16</f>
        <v>24</v>
      </c>
      <c r="C65" s="37">
        <f>1+2</f>
        <v>3</v>
      </c>
      <c r="D65" s="37">
        <v>10</v>
      </c>
      <c r="E65" s="37">
        <v>12</v>
      </c>
      <c r="F65" s="37">
        <v>4</v>
      </c>
      <c r="G65" s="37">
        <v>6</v>
      </c>
      <c r="H65" s="106">
        <f t="shared" si="0"/>
        <v>59</v>
      </c>
      <c r="I65" s="188">
        <f t="shared" si="1"/>
        <v>2.2135306752206496</v>
      </c>
    </row>
    <row r="66" spans="1:9" ht="16.5" x14ac:dyDescent="0.25">
      <c r="A66" s="160" t="s">
        <v>18</v>
      </c>
      <c r="B66" s="179">
        <v>1</v>
      </c>
      <c r="C66" s="37">
        <v>3</v>
      </c>
      <c r="D66" s="37">
        <v>8</v>
      </c>
      <c r="E66" s="37">
        <v>3</v>
      </c>
      <c r="F66" s="37">
        <v>0</v>
      </c>
      <c r="G66" s="37">
        <v>1</v>
      </c>
      <c r="H66" s="106">
        <f t="shared" si="0"/>
        <v>16</v>
      </c>
      <c r="I66" s="189">
        <f t="shared" si="1"/>
        <v>0.60027950514458295</v>
      </c>
    </row>
    <row r="67" spans="1:9" ht="16.5" x14ac:dyDescent="0.25">
      <c r="A67" s="159" t="s">
        <v>19</v>
      </c>
      <c r="B67" s="179">
        <v>2</v>
      </c>
      <c r="C67" s="37">
        <v>0</v>
      </c>
      <c r="D67" s="37">
        <v>4</v>
      </c>
      <c r="E67" s="37">
        <v>2</v>
      </c>
      <c r="F67" s="37">
        <v>1</v>
      </c>
      <c r="G67" s="37">
        <v>0</v>
      </c>
      <c r="H67" s="106">
        <f t="shared" ref="H67:H68" si="3">SUM(B67:G67)</f>
        <v>9</v>
      </c>
      <c r="I67" s="189">
        <f t="shared" si="1"/>
        <v>0.33765722164382789</v>
      </c>
    </row>
    <row r="68" spans="1:9" ht="16.5" x14ac:dyDescent="0.25">
      <c r="A68" s="159" t="s">
        <v>58</v>
      </c>
      <c r="B68" s="163">
        <v>1</v>
      </c>
      <c r="C68" s="37">
        <v>0</v>
      </c>
      <c r="D68" s="37">
        <v>0</v>
      </c>
      <c r="E68" s="37">
        <v>1</v>
      </c>
      <c r="F68" s="37">
        <v>0</v>
      </c>
      <c r="G68" s="37">
        <v>0</v>
      </c>
      <c r="H68" s="106">
        <f t="shared" si="3"/>
        <v>2</v>
      </c>
      <c r="I68" s="189">
        <f t="shared" si="1"/>
        <v>7.5034938143072868E-2</v>
      </c>
    </row>
    <row r="69" spans="1:9" x14ac:dyDescent="0.2">
      <c r="A69" s="69" t="s">
        <v>62</v>
      </c>
      <c r="B69" s="207">
        <v>2665425</v>
      </c>
      <c r="C69" s="207"/>
      <c r="D69" s="207"/>
      <c r="E69" s="207"/>
      <c r="F69" s="207"/>
      <c r="G69" s="207"/>
      <c r="H69" s="207"/>
      <c r="I69" s="207"/>
    </row>
    <row r="70" spans="1:9" x14ac:dyDescent="0.2">
      <c r="A70" s="69" t="s">
        <v>13</v>
      </c>
      <c r="B70" s="70"/>
      <c r="C70" s="71"/>
      <c r="D70" s="72"/>
      <c r="E70" s="70"/>
      <c r="F70" s="71"/>
      <c r="G70" s="73"/>
      <c r="H70" s="69"/>
      <c r="I70" s="69"/>
    </row>
    <row r="71" spans="1:9" x14ac:dyDescent="0.2">
      <c r="A71" s="208" t="s">
        <v>14</v>
      </c>
      <c r="B71" s="208"/>
      <c r="C71" s="208"/>
      <c r="D71" s="208"/>
      <c r="E71" s="208"/>
      <c r="F71" s="208"/>
      <c r="G71" s="208"/>
      <c r="H71" s="208"/>
      <c r="I71" s="208"/>
    </row>
    <row r="72" spans="1:9" x14ac:dyDescent="0.2">
      <c r="A72" s="74" t="s">
        <v>81</v>
      </c>
      <c r="B72" s="70"/>
      <c r="C72" s="71"/>
      <c r="D72" s="72"/>
      <c r="E72" s="70"/>
      <c r="F72" s="71"/>
      <c r="G72" s="73"/>
      <c r="H72" s="69"/>
      <c r="I72" s="69"/>
    </row>
    <row r="73" spans="1:9" x14ac:dyDescent="0.2">
      <c r="A73" s="177" t="s">
        <v>63</v>
      </c>
    </row>
    <row r="74" spans="1:9" x14ac:dyDescent="0.2">
      <c r="A74" s="177" t="s">
        <v>78</v>
      </c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5"/>
  <sheetViews>
    <sheetView topLeftCell="A34" zoomScaleNormal="100" workbookViewId="0">
      <selection activeCell="A74" sqref="A74"/>
    </sheetView>
  </sheetViews>
  <sheetFormatPr defaultRowHeight="12.75" x14ac:dyDescent="0.2"/>
  <cols>
    <col min="1" max="1" width="55.6640625" customWidth="1"/>
    <col min="2" max="5" width="10.6640625" bestFit="1" customWidth="1"/>
    <col min="6" max="6" width="10.5" customWidth="1"/>
    <col min="7" max="7" width="10.6640625" bestFit="1" customWidth="1"/>
    <col min="8" max="8" width="12.33203125" bestFit="1" customWidth="1"/>
    <col min="9" max="9" width="23.1640625" customWidth="1"/>
  </cols>
  <sheetData>
    <row r="1" spans="1:9" ht="20.25" x14ac:dyDescent="0.3">
      <c r="A1" s="97" t="s">
        <v>73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ht="16.5" x14ac:dyDescent="0.25">
      <c r="A4" s="32" t="s">
        <v>48</v>
      </c>
      <c r="B4" s="33">
        <f t="shared" ref="B4:G4" si="0">SUM(B5:B8)</f>
        <v>1991</v>
      </c>
      <c r="C4" s="34">
        <f t="shared" si="0"/>
        <v>1538</v>
      </c>
      <c r="D4" s="31">
        <f t="shared" si="0"/>
        <v>3943</v>
      </c>
      <c r="E4" s="34">
        <f t="shared" si="0"/>
        <v>2465</v>
      </c>
      <c r="F4" s="31">
        <f t="shared" si="0"/>
        <v>541</v>
      </c>
      <c r="G4" s="35">
        <f t="shared" si="0"/>
        <v>322</v>
      </c>
      <c r="H4" s="36">
        <f>SUM(B4:G4)</f>
        <v>10800</v>
      </c>
      <c r="I4" s="62">
        <f t="shared" ref="I4:I35" si="1">H4/B$71 * 100000</f>
        <v>412.9371685510111</v>
      </c>
    </row>
    <row r="5" spans="1:9" ht="16.5" x14ac:dyDescent="0.25">
      <c r="A5" s="159" t="s">
        <v>17</v>
      </c>
      <c r="B5" s="102">
        <v>1917</v>
      </c>
      <c r="C5" s="103">
        <v>1421</v>
      </c>
      <c r="D5" s="104">
        <v>3665</v>
      </c>
      <c r="E5" s="103">
        <v>2366</v>
      </c>
      <c r="F5" s="104">
        <v>534</v>
      </c>
      <c r="G5" s="105">
        <v>319</v>
      </c>
      <c r="H5" s="106">
        <f t="shared" ref="H5:H68" si="2">SUM(B5:G5)</f>
        <v>10222</v>
      </c>
      <c r="I5" s="107">
        <f t="shared" si="1"/>
        <v>390.83738304892927</v>
      </c>
    </row>
    <row r="6" spans="1:9" ht="16.5" x14ac:dyDescent="0.25">
      <c r="A6" s="159" t="s">
        <v>18</v>
      </c>
      <c r="B6" s="102">
        <v>48</v>
      </c>
      <c r="C6" s="103">
        <v>26</v>
      </c>
      <c r="D6" s="104">
        <v>56</v>
      </c>
      <c r="E6" s="103">
        <v>22</v>
      </c>
      <c r="F6" s="104">
        <v>1</v>
      </c>
      <c r="G6" s="105">
        <v>3</v>
      </c>
      <c r="H6" s="106">
        <f t="shared" si="2"/>
        <v>156</v>
      </c>
      <c r="I6" s="107">
        <f t="shared" si="1"/>
        <v>5.9646479901812715</v>
      </c>
    </row>
    <row r="7" spans="1:9" ht="16.5" x14ac:dyDescent="0.25">
      <c r="A7" s="159" t="s">
        <v>19</v>
      </c>
      <c r="B7" s="102">
        <v>18</v>
      </c>
      <c r="C7" s="103">
        <v>85</v>
      </c>
      <c r="D7" s="104">
        <v>202</v>
      </c>
      <c r="E7" s="103">
        <v>68</v>
      </c>
      <c r="F7" s="104">
        <v>6</v>
      </c>
      <c r="G7" s="105">
        <v>0</v>
      </c>
      <c r="H7" s="106">
        <f t="shared" si="2"/>
        <v>379</v>
      </c>
      <c r="I7" s="107">
        <f t="shared" si="1"/>
        <v>14.491035822299372</v>
      </c>
    </row>
    <row r="8" spans="1:9" ht="16.5" x14ac:dyDescent="0.25">
      <c r="A8" s="159" t="s">
        <v>58</v>
      </c>
      <c r="B8" s="108">
        <v>8</v>
      </c>
      <c r="C8" s="109">
        <v>6</v>
      </c>
      <c r="D8" s="110">
        <v>20</v>
      </c>
      <c r="E8" s="109">
        <v>9</v>
      </c>
      <c r="F8" s="110">
        <v>0</v>
      </c>
      <c r="G8" s="111">
        <v>0</v>
      </c>
      <c r="H8" s="106">
        <f t="shared" si="2"/>
        <v>43</v>
      </c>
      <c r="I8" s="107">
        <f t="shared" si="1"/>
        <v>1.6441016896012479</v>
      </c>
    </row>
    <row r="9" spans="1:9" ht="16.5" x14ac:dyDescent="0.25">
      <c r="A9" s="32" t="s">
        <v>60</v>
      </c>
      <c r="B9" s="33">
        <f t="shared" ref="B9:G9" si="3">SUM(B10:B13)</f>
        <v>28</v>
      </c>
      <c r="C9" s="34">
        <f t="shared" si="3"/>
        <v>7</v>
      </c>
      <c r="D9" s="31">
        <f t="shared" si="3"/>
        <v>11</v>
      </c>
      <c r="E9" s="34">
        <f t="shared" si="3"/>
        <v>6</v>
      </c>
      <c r="F9" s="31">
        <f t="shared" si="3"/>
        <v>2</v>
      </c>
      <c r="G9" s="35">
        <f t="shared" si="3"/>
        <v>0</v>
      </c>
      <c r="H9" s="36">
        <f t="shared" si="2"/>
        <v>54</v>
      </c>
      <c r="I9" s="62">
        <f t="shared" si="1"/>
        <v>2.0646858427550554</v>
      </c>
    </row>
    <row r="10" spans="1:9" ht="16.5" x14ac:dyDescent="0.25">
      <c r="A10" s="159" t="s">
        <v>17</v>
      </c>
      <c r="B10" s="102">
        <v>28</v>
      </c>
      <c r="C10" s="103">
        <v>7</v>
      </c>
      <c r="D10" s="104">
        <v>11</v>
      </c>
      <c r="E10" s="103">
        <v>5</v>
      </c>
      <c r="F10" s="104">
        <v>2</v>
      </c>
      <c r="G10" s="105">
        <v>0</v>
      </c>
      <c r="H10" s="106">
        <f t="shared" si="2"/>
        <v>53</v>
      </c>
      <c r="I10" s="107">
        <f t="shared" si="1"/>
        <v>2.0264509197410732</v>
      </c>
    </row>
    <row r="11" spans="1:9" ht="16.5" x14ac:dyDescent="0.25">
      <c r="A11" s="159" t="s">
        <v>18</v>
      </c>
      <c r="B11" s="102">
        <v>0</v>
      </c>
      <c r="C11" s="103">
        <v>0</v>
      </c>
      <c r="D11" s="104">
        <v>0</v>
      </c>
      <c r="E11" s="103">
        <v>0</v>
      </c>
      <c r="F11" s="104">
        <v>0</v>
      </c>
      <c r="G11" s="105">
        <v>0</v>
      </c>
      <c r="H11" s="106">
        <f>SUM(B11:G11)</f>
        <v>0</v>
      </c>
      <c r="I11" s="107">
        <f t="shared" si="1"/>
        <v>0</v>
      </c>
    </row>
    <row r="12" spans="1:9" ht="16.5" x14ac:dyDescent="0.25">
      <c r="A12" s="159" t="s">
        <v>19</v>
      </c>
      <c r="B12" s="102">
        <v>0</v>
      </c>
      <c r="C12" s="103">
        <v>0</v>
      </c>
      <c r="D12" s="104">
        <v>0</v>
      </c>
      <c r="E12" s="103">
        <v>0</v>
      </c>
      <c r="F12" s="104">
        <v>0</v>
      </c>
      <c r="G12" s="105">
        <v>0</v>
      </c>
      <c r="H12" s="106">
        <f>SUM(B12:G12)</f>
        <v>0</v>
      </c>
      <c r="I12" s="107">
        <f t="shared" si="1"/>
        <v>0</v>
      </c>
    </row>
    <row r="13" spans="1:9" ht="16.5" x14ac:dyDescent="0.25">
      <c r="A13" s="159" t="s">
        <v>58</v>
      </c>
      <c r="B13" s="102">
        <v>0</v>
      </c>
      <c r="C13" s="103">
        <v>0</v>
      </c>
      <c r="D13" s="104">
        <v>0</v>
      </c>
      <c r="E13" s="103">
        <v>1</v>
      </c>
      <c r="F13" s="104">
        <v>0</v>
      </c>
      <c r="G13" s="105">
        <v>0</v>
      </c>
      <c r="H13" s="106">
        <f>SUM(B13:G13)</f>
        <v>1</v>
      </c>
      <c r="I13" s="169">
        <f t="shared" si="1"/>
        <v>3.8234923013982514E-2</v>
      </c>
    </row>
    <row r="14" spans="1:9" ht="16.5" x14ac:dyDescent="0.25">
      <c r="A14" s="32" t="s">
        <v>49</v>
      </c>
      <c r="B14" s="33">
        <f t="shared" ref="B14:G14" si="4">SUM(B15:B18)</f>
        <v>19210</v>
      </c>
      <c r="C14" s="34">
        <f t="shared" si="4"/>
        <v>2670</v>
      </c>
      <c r="D14" s="31">
        <f t="shared" si="4"/>
        <v>7524</v>
      </c>
      <c r="E14" s="34">
        <f t="shared" si="4"/>
        <v>10176</v>
      </c>
      <c r="F14" s="31">
        <f t="shared" si="4"/>
        <v>4799</v>
      </c>
      <c r="G14" s="35">
        <f t="shared" si="4"/>
        <v>9020</v>
      </c>
      <c r="H14" s="36">
        <f t="shared" si="2"/>
        <v>53399</v>
      </c>
      <c r="I14" s="75">
        <f t="shared" si="1"/>
        <v>2041.7066540236519</v>
      </c>
    </row>
    <row r="15" spans="1:9" ht="16.5" x14ac:dyDescent="0.25">
      <c r="A15" s="159" t="s">
        <v>17</v>
      </c>
      <c r="B15" s="102">
        <v>19190</v>
      </c>
      <c r="C15" s="103">
        <v>2664</v>
      </c>
      <c r="D15" s="104">
        <v>7517</v>
      </c>
      <c r="E15" s="103">
        <v>10170</v>
      </c>
      <c r="F15" s="104">
        <v>4799</v>
      </c>
      <c r="G15" s="105">
        <v>9018</v>
      </c>
      <c r="H15" s="106">
        <f t="shared" si="2"/>
        <v>53358</v>
      </c>
      <c r="I15" s="121">
        <f t="shared" si="1"/>
        <v>2040.1390221800789</v>
      </c>
    </row>
    <row r="16" spans="1:9" ht="16.5" x14ac:dyDescent="0.25">
      <c r="A16" s="159" t="s">
        <v>18</v>
      </c>
      <c r="B16" s="102">
        <v>2</v>
      </c>
      <c r="C16" s="103">
        <v>1</v>
      </c>
      <c r="D16" s="104">
        <v>0</v>
      </c>
      <c r="E16" s="103">
        <v>1</v>
      </c>
      <c r="F16" s="104">
        <v>0</v>
      </c>
      <c r="G16" s="105">
        <v>0</v>
      </c>
      <c r="H16" s="106">
        <f t="shared" si="2"/>
        <v>4</v>
      </c>
      <c r="I16" s="170">
        <f t="shared" si="1"/>
        <v>0.15293969205593005</v>
      </c>
    </row>
    <row r="17" spans="1:9" ht="16.5" x14ac:dyDescent="0.25">
      <c r="A17" s="159" t="s">
        <v>19</v>
      </c>
      <c r="B17" s="102">
        <v>1</v>
      </c>
      <c r="C17" s="103">
        <v>0</v>
      </c>
      <c r="D17" s="104">
        <v>0</v>
      </c>
      <c r="E17" s="103">
        <v>2</v>
      </c>
      <c r="F17" s="104">
        <v>0</v>
      </c>
      <c r="G17" s="105">
        <v>2</v>
      </c>
      <c r="H17" s="106">
        <f>SUM(B17:G17)</f>
        <v>5</v>
      </c>
      <c r="I17" s="170">
        <f t="shared" si="1"/>
        <v>0.19117461506991254</v>
      </c>
    </row>
    <row r="18" spans="1:9" ht="16.5" x14ac:dyDescent="0.25">
      <c r="A18" s="159" t="s">
        <v>58</v>
      </c>
      <c r="B18" s="115">
        <v>17</v>
      </c>
      <c r="C18" s="116">
        <v>5</v>
      </c>
      <c r="D18" s="117">
        <v>7</v>
      </c>
      <c r="E18" s="116">
        <v>3</v>
      </c>
      <c r="F18" s="117">
        <v>0</v>
      </c>
      <c r="G18" s="118">
        <v>0</v>
      </c>
      <c r="H18" s="119">
        <f>SUM(B18:G18)</f>
        <v>32</v>
      </c>
      <c r="I18" s="123">
        <f t="shared" si="1"/>
        <v>1.2235175364474404</v>
      </c>
    </row>
    <row r="19" spans="1:9" ht="16.5" x14ac:dyDescent="0.25">
      <c r="A19" s="162" t="s">
        <v>50</v>
      </c>
      <c r="B19" s="33">
        <f t="shared" ref="B19:G19" si="5">SUM(B20:B23)</f>
        <v>67</v>
      </c>
      <c r="C19" s="34">
        <f t="shared" si="5"/>
        <v>44</v>
      </c>
      <c r="D19" s="31">
        <f t="shared" si="5"/>
        <v>132</v>
      </c>
      <c r="E19" s="34">
        <f t="shared" si="5"/>
        <v>90</v>
      </c>
      <c r="F19" s="31">
        <f t="shared" si="5"/>
        <v>18</v>
      </c>
      <c r="G19" s="35">
        <f t="shared" si="5"/>
        <v>16</v>
      </c>
      <c r="H19" s="124">
        <f t="shared" si="2"/>
        <v>367</v>
      </c>
      <c r="I19" s="125">
        <f t="shared" si="1"/>
        <v>14.032216746131583</v>
      </c>
    </row>
    <row r="20" spans="1:9" ht="16.5" x14ac:dyDescent="0.25">
      <c r="A20" s="159" t="s">
        <v>17</v>
      </c>
      <c r="B20" s="102">
        <v>58</v>
      </c>
      <c r="C20" s="103">
        <v>40</v>
      </c>
      <c r="D20" s="104">
        <v>124</v>
      </c>
      <c r="E20" s="103">
        <v>85</v>
      </c>
      <c r="F20" s="104">
        <v>17</v>
      </c>
      <c r="G20" s="105">
        <v>14</v>
      </c>
      <c r="H20" s="106">
        <f t="shared" si="2"/>
        <v>338</v>
      </c>
      <c r="I20" s="121">
        <f t="shared" si="1"/>
        <v>12.923403978726087</v>
      </c>
    </row>
    <row r="21" spans="1:9" ht="16.5" x14ac:dyDescent="0.25">
      <c r="A21" s="159" t="s">
        <v>18</v>
      </c>
      <c r="B21" s="102">
        <v>0</v>
      </c>
      <c r="C21" s="103">
        <v>2</v>
      </c>
      <c r="D21" s="104">
        <v>0</v>
      </c>
      <c r="E21" s="103">
        <v>0</v>
      </c>
      <c r="F21" s="104">
        <v>0</v>
      </c>
      <c r="G21" s="105">
        <v>0</v>
      </c>
      <c r="H21" s="106">
        <f t="shared" si="2"/>
        <v>2</v>
      </c>
      <c r="I21" s="170">
        <f t="shared" si="1"/>
        <v>7.6469846027965027E-2</v>
      </c>
    </row>
    <row r="22" spans="1:9" ht="16.5" x14ac:dyDescent="0.25">
      <c r="A22" s="159" t="s">
        <v>19</v>
      </c>
      <c r="B22" s="102">
        <v>0</v>
      </c>
      <c r="C22" s="103">
        <v>1</v>
      </c>
      <c r="D22" s="104">
        <v>0</v>
      </c>
      <c r="E22" s="103">
        <v>0</v>
      </c>
      <c r="F22" s="104">
        <v>0</v>
      </c>
      <c r="G22" s="105">
        <v>0</v>
      </c>
      <c r="H22" s="106">
        <f t="shared" si="2"/>
        <v>1</v>
      </c>
      <c r="I22" s="170">
        <f t="shared" si="1"/>
        <v>3.8234923013982514E-2</v>
      </c>
    </row>
    <row r="23" spans="1:9" ht="16.5" x14ac:dyDescent="0.25">
      <c r="A23" s="159" t="s">
        <v>58</v>
      </c>
      <c r="B23" s="102">
        <v>9</v>
      </c>
      <c r="C23" s="103">
        <v>1</v>
      </c>
      <c r="D23" s="104">
        <v>8</v>
      </c>
      <c r="E23" s="103">
        <v>5</v>
      </c>
      <c r="F23" s="104">
        <v>1</v>
      </c>
      <c r="G23" s="105">
        <v>2</v>
      </c>
      <c r="H23" s="119">
        <f t="shared" si="2"/>
        <v>26</v>
      </c>
      <c r="I23" s="123">
        <f t="shared" si="1"/>
        <v>0.99410799836354524</v>
      </c>
    </row>
    <row r="24" spans="1:9" ht="16.5" x14ac:dyDescent="0.25">
      <c r="A24" s="162" t="s">
        <v>51</v>
      </c>
      <c r="B24" s="33">
        <f t="shared" ref="B24:G24" si="6">SUM(B25:B28)</f>
        <v>636</v>
      </c>
      <c r="C24" s="34">
        <f t="shared" si="6"/>
        <v>231</v>
      </c>
      <c r="D24" s="31">
        <f t="shared" si="6"/>
        <v>669</v>
      </c>
      <c r="E24" s="34">
        <f t="shared" si="6"/>
        <v>525</v>
      </c>
      <c r="F24" s="31">
        <f t="shared" si="6"/>
        <v>88</v>
      </c>
      <c r="G24" s="35">
        <f t="shared" si="6"/>
        <v>53</v>
      </c>
      <c r="H24" s="124">
        <f t="shared" si="2"/>
        <v>2202</v>
      </c>
      <c r="I24" s="125">
        <f t="shared" si="1"/>
        <v>84.193300476789489</v>
      </c>
    </row>
    <row r="25" spans="1:9" ht="16.5" x14ac:dyDescent="0.25">
      <c r="A25" s="159" t="s">
        <v>17</v>
      </c>
      <c r="B25" s="102">
        <v>631</v>
      </c>
      <c r="C25" s="103">
        <v>226</v>
      </c>
      <c r="D25" s="104">
        <v>660</v>
      </c>
      <c r="E25" s="103">
        <v>520</v>
      </c>
      <c r="F25" s="104">
        <v>88</v>
      </c>
      <c r="G25" s="105">
        <v>53</v>
      </c>
      <c r="H25" s="106">
        <f>SUM(B25:G25)</f>
        <v>2178</v>
      </c>
      <c r="I25" s="121">
        <f t="shared" si="1"/>
        <v>83.275662324453918</v>
      </c>
    </row>
    <row r="26" spans="1:9" ht="16.5" x14ac:dyDescent="0.25">
      <c r="A26" s="159" t="s">
        <v>18</v>
      </c>
      <c r="B26" s="102">
        <v>0</v>
      </c>
      <c r="C26" s="103">
        <v>0</v>
      </c>
      <c r="D26" s="104">
        <v>0</v>
      </c>
      <c r="E26" s="103">
        <v>0</v>
      </c>
      <c r="F26" s="104">
        <v>0</v>
      </c>
      <c r="G26" s="105">
        <v>0</v>
      </c>
      <c r="H26" s="106">
        <f>SUM(B26:G26)</f>
        <v>0</v>
      </c>
      <c r="I26" s="121">
        <f t="shared" si="1"/>
        <v>0</v>
      </c>
    </row>
    <row r="27" spans="1:9" ht="16.5" x14ac:dyDescent="0.25">
      <c r="A27" s="159" t="s">
        <v>19</v>
      </c>
      <c r="B27" s="102">
        <v>2</v>
      </c>
      <c r="C27" s="103">
        <v>4</v>
      </c>
      <c r="D27" s="104">
        <v>3</v>
      </c>
      <c r="E27" s="103">
        <v>4</v>
      </c>
      <c r="F27" s="104">
        <v>0</v>
      </c>
      <c r="G27" s="105">
        <v>0</v>
      </c>
      <c r="H27" s="106">
        <f>SUM(B27:G27)</f>
        <v>13</v>
      </c>
      <c r="I27" s="170">
        <f t="shared" si="1"/>
        <v>0.49705399918177262</v>
      </c>
    </row>
    <row r="28" spans="1:9" ht="16.5" x14ac:dyDescent="0.25">
      <c r="A28" s="159" t="s">
        <v>58</v>
      </c>
      <c r="B28" s="127">
        <v>3</v>
      </c>
      <c r="C28" s="128">
        <v>1</v>
      </c>
      <c r="D28" s="129">
        <v>6</v>
      </c>
      <c r="E28" s="128">
        <v>1</v>
      </c>
      <c r="F28" s="129">
        <v>0</v>
      </c>
      <c r="G28" s="130">
        <v>0</v>
      </c>
      <c r="H28" s="131">
        <f t="shared" si="2"/>
        <v>11</v>
      </c>
      <c r="I28" s="172">
        <f t="shared" si="1"/>
        <v>0.42058415315380765</v>
      </c>
    </row>
    <row r="29" spans="1:9" ht="16.5" x14ac:dyDescent="0.25">
      <c r="A29" s="32" t="s">
        <v>52</v>
      </c>
      <c r="B29" s="33">
        <f t="shared" ref="B29:G29" si="7">SUM(B30:B33)</f>
        <v>63</v>
      </c>
      <c r="C29" s="34">
        <f t="shared" si="7"/>
        <v>142</v>
      </c>
      <c r="D29" s="31">
        <f t="shared" si="7"/>
        <v>145</v>
      </c>
      <c r="E29" s="34">
        <f t="shared" si="7"/>
        <v>54</v>
      </c>
      <c r="F29" s="31">
        <f t="shared" si="7"/>
        <v>5</v>
      </c>
      <c r="G29" s="35">
        <f t="shared" si="7"/>
        <v>3</v>
      </c>
      <c r="H29" s="36">
        <f t="shared" si="2"/>
        <v>412</v>
      </c>
      <c r="I29" s="75">
        <f t="shared" si="1"/>
        <v>15.752788281760795</v>
      </c>
    </row>
    <row r="30" spans="1:9" ht="16.5" x14ac:dyDescent="0.25">
      <c r="A30" s="159" t="s">
        <v>17</v>
      </c>
      <c r="B30" s="102">
        <v>38</v>
      </c>
      <c r="C30" s="103">
        <v>83</v>
      </c>
      <c r="D30" s="104">
        <v>93</v>
      </c>
      <c r="E30" s="103">
        <v>32</v>
      </c>
      <c r="F30" s="104">
        <v>3</v>
      </c>
      <c r="G30" s="105">
        <v>3</v>
      </c>
      <c r="H30" s="106">
        <f t="shared" si="2"/>
        <v>252</v>
      </c>
      <c r="I30" s="121">
        <f t="shared" si="1"/>
        <v>9.6352005995235928</v>
      </c>
    </row>
    <row r="31" spans="1:9" ht="16.5" x14ac:dyDescent="0.25">
      <c r="A31" s="159" t="s">
        <v>18</v>
      </c>
      <c r="B31" s="102">
        <v>1</v>
      </c>
      <c r="C31" s="103">
        <v>0</v>
      </c>
      <c r="D31" s="104">
        <v>1</v>
      </c>
      <c r="E31" s="103">
        <v>0</v>
      </c>
      <c r="F31" s="104">
        <v>1</v>
      </c>
      <c r="G31" s="105">
        <v>0</v>
      </c>
      <c r="H31" s="106">
        <f t="shared" si="2"/>
        <v>3</v>
      </c>
      <c r="I31" s="170">
        <f t="shared" si="1"/>
        <v>0.11470476904194753</v>
      </c>
    </row>
    <row r="32" spans="1:9" ht="16.5" x14ac:dyDescent="0.25">
      <c r="A32" s="159" t="s">
        <v>19</v>
      </c>
      <c r="B32" s="102">
        <v>21</v>
      </c>
      <c r="C32" s="103">
        <v>52</v>
      </c>
      <c r="D32" s="104">
        <v>44</v>
      </c>
      <c r="E32" s="103">
        <v>15</v>
      </c>
      <c r="F32" s="104">
        <v>1</v>
      </c>
      <c r="G32" s="105">
        <v>0</v>
      </c>
      <c r="H32" s="106">
        <f t="shared" si="2"/>
        <v>133</v>
      </c>
      <c r="I32" s="121">
        <f t="shared" si="1"/>
        <v>5.0852447608596743</v>
      </c>
    </row>
    <row r="33" spans="1:9" ht="16.5" x14ac:dyDescent="0.25">
      <c r="A33" s="160" t="s">
        <v>58</v>
      </c>
      <c r="B33" s="102">
        <v>3</v>
      </c>
      <c r="C33" s="103">
        <v>7</v>
      </c>
      <c r="D33" s="104">
        <v>7</v>
      </c>
      <c r="E33" s="103">
        <v>7</v>
      </c>
      <c r="F33" s="104">
        <v>0</v>
      </c>
      <c r="G33" s="105">
        <v>0</v>
      </c>
      <c r="H33" s="106">
        <f t="shared" si="2"/>
        <v>24</v>
      </c>
      <c r="I33" s="121">
        <f t="shared" si="1"/>
        <v>0.91763815233558022</v>
      </c>
    </row>
    <row r="34" spans="1:9" ht="16.5" x14ac:dyDescent="0.25">
      <c r="A34" s="39" t="s">
        <v>12</v>
      </c>
      <c r="B34" s="40">
        <v>21</v>
      </c>
      <c r="C34" s="41">
        <v>40</v>
      </c>
      <c r="D34" s="42">
        <v>130</v>
      </c>
      <c r="E34" s="41">
        <v>138</v>
      </c>
      <c r="F34" s="42">
        <v>16</v>
      </c>
      <c r="G34" s="43">
        <v>9</v>
      </c>
      <c r="H34" s="44">
        <f t="shared" si="2"/>
        <v>354</v>
      </c>
      <c r="I34" s="76">
        <f t="shared" si="1"/>
        <v>13.53516274694981</v>
      </c>
    </row>
    <row r="35" spans="1:9" ht="16.5" x14ac:dyDescent="0.25">
      <c r="A35" s="32" t="s">
        <v>53</v>
      </c>
      <c r="B35" s="33">
        <f>SUM(B36+B42+B43+B44)</f>
        <v>2072</v>
      </c>
      <c r="C35" s="34">
        <f t="shared" ref="C35:H35" si="8">SUM(C36+C42+C43+C44)</f>
        <v>3751</v>
      </c>
      <c r="D35" s="31">
        <f t="shared" si="8"/>
        <v>6916</v>
      </c>
      <c r="E35" s="34">
        <f t="shared" si="8"/>
        <v>4528</v>
      </c>
      <c r="F35" s="31">
        <f t="shared" si="8"/>
        <v>1027</v>
      </c>
      <c r="G35" s="35">
        <f t="shared" si="8"/>
        <v>661</v>
      </c>
      <c r="H35" s="36">
        <f t="shared" si="8"/>
        <v>18955</v>
      </c>
      <c r="I35" s="75">
        <f t="shared" si="1"/>
        <v>724.74296573003846</v>
      </c>
    </row>
    <row r="36" spans="1:9" ht="16.5" x14ac:dyDescent="0.25">
      <c r="A36" s="159" t="s">
        <v>17</v>
      </c>
      <c r="B36" s="102">
        <f t="shared" ref="B36:G36" si="9">SUM(B37:B41)</f>
        <v>2072</v>
      </c>
      <c r="C36" s="103">
        <f t="shared" si="9"/>
        <v>3749</v>
      </c>
      <c r="D36" s="104">
        <f t="shared" si="9"/>
        <v>6911</v>
      </c>
      <c r="E36" s="103">
        <f t="shared" si="9"/>
        <v>4528</v>
      </c>
      <c r="F36" s="104">
        <f t="shared" si="9"/>
        <v>1026</v>
      </c>
      <c r="G36" s="105">
        <f t="shared" si="9"/>
        <v>660</v>
      </c>
      <c r="H36" s="106">
        <f t="shared" si="2"/>
        <v>18946</v>
      </c>
      <c r="I36" s="121">
        <f t="shared" ref="I36:I67" si="10">H36/B$71 * 100000</f>
        <v>724.39885142291268</v>
      </c>
    </row>
    <row r="37" spans="1:9" ht="16.5" x14ac:dyDescent="0.25">
      <c r="A37" s="159" t="s">
        <v>24</v>
      </c>
      <c r="B37" s="102">
        <v>1642</v>
      </c>
      <c r="C37" s="103">
        <v>2799</v>
      </c>
      <c r="D37" s="104">
        <v>5096</v>
      </c>
      <c r="E37" s="103">
        <v>3290</v>
      </c>
      <c r="F37" s="104">
        <v>788</v>
      </c>
      <c r="G37" s="105">
        <v>506</v>
      </c>
      <c r="H37" s="106">
        <f t="shared" si="2"/>
        <v>14121</v>
      </c>
      <c r="I37" s="121">
        <f t="shared" si="10"/>
        <v>539.91534788044703</v>
      </c>
    </row>
    <row r="38" spans="1:9" ht="16.5" x14ac:dyDescent="0.25">
      <c r="A38" s="159" t="s">
        <v>25</v>
      </c>
      <c r="B38" s="102">
        <v>49</v>
      </c>
      <c r="C38" s="103">
        <v>280</v>
      </c>
      <c r="D38" s="104">
        <v>466</v>
      </c>
      <c r="E38" s="103">
        <v>201</v>
      </c>
      <c r="F38" s="104">
        <v>16</v>
      </c>
      <c r="G38" s="105">
        <v>4</v>
      </c>
      <c r="H38" s="106">
        <f t="shared" si="2"/>
        <v>1016</v>
      </c>
      <c r="I38" s="121">
        <f t="shared" si="10"/>
        <v>38.846681782206232</v>
      </c>
    </row>
    <row r="39" spans="1:9" ht="16.5" x14ac:dyDescent="0.25">
      <c r="A39" s="159" t="s">
        <v>26</v>
      </c>
      <c r="B39" s="102">
        <v>60</v>
      </c>
      <c r="C39" s="103">
        <v>107</v>
      </c>
      <c r="D39" s="104">
        <v>188</v>
      </c>
      <c r="E39" s="103">
        <v>142</v>
      </c>
      <c r="F39" s="104">
        <v>21</v>
      </c>
      <c r="G39" s="105">
        <v>3</v>
      </c>
      <c r="H39" s="106">
        <f t="shared" si="2"/>
        <v>521</v>
      </c>
      <c r="I39" s="121">
        <f t="shared" si="10"/>
        <v>19.920394890284889</v>
      </c>
    </row>
    <row r="40" spans="1:9" ht="16.5" x14ac:dyDescent="0.25">
      <c r="A40" s="159" t="s">
        <v>27</v>
      </c>
      <c r="B40" s="102">
        <v>155</v>
      </c>
      <c r="C40" s="103">
        <v>145</v>
      </c>
      <c r="D40" s="104">
        <v>293</v>
      </c>
      <c r="E40" s="103">
        <v>244</v>
      </c>
      <c r="F40" s="104">
        <v>72</v>
      </c>
      <c r="G40" s="105">
        <v>45</v>
      </c>
      <c r="H40" s="106">
        <f t="shared" si="2"/>
        <v>954</v>
      </c>
      <c r="I40" s="121">
        <f t="shared" si="10"/>
        <v>36.476116555339317</v>
      </c>
    </row>
    <row r="41" spans="1:9" ht="16.5" x14ac:dyDescent="0.25">
      <c r="A41" s="159" t="s">
        <v>28</v>
      </c>
      <c r="B41" s="102">
        <v>166</v>
      </c>
      <c r="C41" s="103">
        <v>418</v>
      </c>
      <c r="D41" s="104">
        <v>868</v>
      </c>
      <c r="E41" s="103">
        <v>651</v>
      </c>
      <c r="F41" s="104">
        <v>129</v>
      </c>
      <c r="G41" s="105">
        <v>102</v>
      </c>
      <c r="H41" s="106">
        <f t="shared" si="2"/>
        <v>2334</v>
      </c>
      <c r="I41" s="121">
        <f t="shared" si="10"/>
        <v>89.240310314635181</v>
      </c>
    </row>
    <row r="42" spans="1:9" ht="16.5" x14ac:dyDescent="0.25">
      <c r="A42" s="159" t="s">
        <v>18</v>
      </c>
      <c r="B42" s="102">
        <v>0</v>
      </c>
      <c r="C42" s="103">
        <v>0</v>
      </c>
      <c r="D42" s="104">
        <v>0</v>
      </c>
      <c r="E42" s="103">
        <v>0</v>
      </c>
      <c r="F42" s="104">
        <v>0</v>
      </c>
      <c r="G42" s="105">
        <v>0</v>
      </c>
      <c r="H42" s="106">
        <f t="shared" si="2"/>
        <v>0</v>
      </c>
      <c r="I42" s="173">
        <f t="shared" si="10"/>
        <v>0</v>
      </c>
    </row>
    <row r="43" spans="1:9" ht="16.5" x14ac:dyDescent="0.25">
      <c r="A43" s="159" t="s">
        <v>19</v>
      </c>
      <c r="B43" s="133">
        <v>0</v>
      </c>
      <c r="C43" s="134">
        <v>1</v>
      </c>
      <c r="D43" s="135">
        <v>3</v>
      </c>
      <c r="E43" s="134">
        <v>0</v>
      </c>
      <c r="F43" s="135">
        <v>1</v>
      </c>
      <c r="G43" s="136">
        <v>0</v>
      </c>
      <c r="H43" s="106">
        <f>SUM(B43:G43)</f>
        <v>5</v>
      </c>
      <c r="I43" s="170">
        <f t="shared" si="10"/>
        <v>0.19117461506991254</v>
      </c>
    </row>
    <row r="44" spans="1:9" ht="16.5" x14ac:dyDescent="0.25">
      <c r="A44" s="159" t="s">
        <v>58</v>
      </c>
      <c r="B44" s="137">
        <v>0</v>
      </c>
      <c r="C44" s="138">
        <v>1</v>
      </c>
      <c r="D44" s="139">
        <v>2</v>
      </c>
      <c r="E44" s="138">
        <v>0</v>
      </c>
      <c r="F44" s="139">
        <v>0</v>
      </c>
      <c r="G44" s="140">
        <v>1</v>
      </c>
      <c r="H44" s="141">
        <f>SUM(B44:G44)</f>
        <v>4</v>
      </c>
      <c r="I44" s="171">
        <f t="shared" si="10"/>
        <v>0.15293969205593005</v>
      </c>
    </row>
    <row r="45" spans="1:9" ht="16.5" x14ac:dyDescent="0.25">
      <c r="A45" s="39" t="s">
        <v>32</v>
      </c>
      <c r="B45" s="40">
        <v>622</v>
      </c>
      <c r="C45" s="41">
        <v>201</v>
      </c>
      <c r="D45" s="42">
        <v>512</v>
      </c>
      <c r="E45" s="41">
        <v>401</v>
      </c>
      <c r="F45" s="42">
        <v>44</v>
      </c>
      <c r="G45" s="43">
        <v>23</v>
      </c>
      <c r="H45" s="44">
        <f t="shared" si="2"/>
        <v>1803</v>
      </c>
      <c r="I45" s="76">
        <f t="shared" si="10"/>
        <v>68.937566194210461</v>
      </c>
    </row>
    <row r="46" spans="1:9" ht="16.5" x14ac:dyDescent="0.25">
      <c r="A46" s="39" t="s">
        <v>33</v>
      </c>
      <c r="B46" s="40">
        <v>18</v>
      </c>
      <c r="C46" s="41">
        <v>10</v>
      </c>
      <c r="D46" s="42">
        <v>25</v>
      </c>
      <c r="E46" s="41">
        <v>14</v>
      </c>
      <c r="F46" s="42">
        <v>3</v>
      </c>
      <c r="G46" s="43">
        <v>5</v>
      </c>
      <c r="H46" s="44">
        <f t="shared" si="2"/>
        <v>75</v>
      </c>
      <c r="I46" s="76">
        <f t="shared" si="10"/>
        <v>2.8676192260486881</v>
      </c>
    </row>
    <row r="47" spans="1:9" ht="16.5" x14ac:dyDescent="0.25">
      <c r="A47" s="32" t="s">
        <v>47</v>
      </c>
      <c r="B47" s="33">
        <f t="shared" ref="B47:G47" si="11">SUM(B48:B51)</f>
        <v>172</v>
      </c>
      <c r="C47" s="34">
        <f t="shared" si="11"/>
        <v>154</v>
      </c>
      <c r="D47" s="31">
        <f t="shared" si="11"/>
        <v>252</v>
      </c>
      <c r="E47" s="34">
        <f t="shared" si="11"/>
        <v>134</v>
      </c>
      <c r="F47" s="31">
        <f t="shared" si="11"/>
        <v>25</v>
      </c>
      <c r="G47" s="35">
        <f t="shared" si="11"/>
        <v>20</v>
      </c>
      <c r="H47" s="36">
        <f t="shared" si="2"/>
        <v>757</v>
      </c>
      <c r="I47" s="75">
        <f t="shared" si="10"/>
        <v>28.943836721584763</v>
      </c>
    </row>
    <row r="48" spans="1:9" ht="16.5" x14ac:dyDescent="0.25">
      <c r="A48" s="159" t="s">
        <v>17</v>
      </c>
      <c r="B48" s="102">
        <v>172</v>
      </c>
      <c r="C48" s="103">
        <v>154</v>
      </c>
      <c r="D48" s="104">
        <v>252</v>
      </c>
      <c r="E48" s="103">
        <v>134</v>
      </c>
      <c r="F48" s="104">
        <v>25</v>
      </c>
      <c r="G48" s="105">
        <v>20</v>
      </c>
      <c r="H48" s="106">
        <f t="shared" si="2"/>
        <v>757</v>
      </c>
      <c r="I48" s="121">
        <f t="shared" si="10"/>
        <v>28.943836721584763</v>
      </c>
    </row>
    <row r="49" spans="1:9" ht="16.5" x14ac:dyDescent="0.25">
      <c r="A49" s="160" t="s">
        <v>18</v>
      </c>
      <c r="B49" s="108">
        <v>0</v>
      </c>
      <c r="C49" s="109">
        <v>0</v>
      </c>
      <c r="D49" s="110">
        <v>0</v>
      </c>
      <c r="E49" s="109">
        <v>0</v>
      </c>
      <c r="F49" s="110">
        <v>0</v>
      </c>
      <c r="G49" s="111">
        <v>0</v>
      </c>
      <c r="H49" s="112">
        <f t="shared" si="2"/>
        <v>0</v>
      </c>
      <c r="I49" s="143">
        <f t="shared" si="10"/>
        <v>0</v>
      </c>
    </row>
    <row r="50" spans="1:9" ht="16.5" x14ac:dyDescent="0.25">
      <c r="A50" s="159" t="s">
        <v>19</v>
      </c>
      <c r="B50" s="108">
        <v>0</v>
      </c>
      <c r="C50" s="109">
        <v>0</v>
      </c>
      <c r="D50" s="110">
        <v>0</v>
      </c>
      <c r="E50" s="109">
        <v>0</v>
      </c>
      <c r="F50" s="110">
        <v>0</v>
      </c>
      <c r="G50" s="111">
        <v>0</v>
      </c>
      <c r="H50" s="112">
        <f t="shared" si="2"/>
        <v>0</v>
      </c>
      <c r="I50" s="143">
        <f t="shared" si="10"/>
        <v>0</v>
      </c>
    </row>
    <row r="51" spans="1:9" ht="16.5" x14ac:dyDescent="0.25">
      <c r="A51" s="159" t="s">
        <v>58</v>
      </c>
      <c r="B51" s="144">
        <v>0</v>
      </c>
      <c r="C51" s="116">
        <v>0</v>
      </c>
      <c r="D51" s="116">
        <v>0</v>
      </c>
      <c r="E51" s="116">
        <v>0</v>
      </c>
      <c r="F51" s="116">
        <v>0</v>
      </c>
      <c r="G51" s="118">
        <v>0</v>
      </c>
      <c r="H51" s="119">
        <f t="shared" si="2"/>
        <v>0</v>
      </c>
      <c r="I51" s="123">
        <f t="shared" si="10"/>
        <v>0</v>
      </c>
    </row>
    <row r="52" spans="1:9" ht="16.5" x14ac:dyDescent="0.25">
      <c r="A52" s="45" t="s">
        <v>46</v>
      </c>
      <c r="B52" s="46">
        <f t="shared" ref="B52:G52" si="12">SUM(B53:B54)</f>
        <v>3730</v>
      </c>
      <c r="C52" s="46">
        <f t="shared" si="12"/>
        <v>854</v>
      </c>
      <c r="D52" s="46">
        <f t="shared" si="12"/>
        <v>1695</v>
      </c>
      <c r="E52" s="46">
        <f t="shared" si="12"/>
        <v>1313</v>
      </c>
      <c r="F52" s="46">
        <f t="shared" si="12"/>
        <v>339</v>
      </c>
      <c r="G52" s="46">
        <f t="shared" si="12"/>
        <v>243</v>
      </c>
      <c r="H52" s="50">
        <f>SUM(B52:G52)</f>
        <v>8174</v>
      </c>
      <c r="I52" s="61">
        <f t="shared" si="10"/>
        <v>312.53226071629302</v>
      </c>
    </row>
    <row r="53" spans="1:9" ht="16.5" x14ac:dyDescent="0.25">
      <c r="A53" s="159" t="s">
        <v>30</v>
      </c>
      <c r="B53" s="78">
        <v>3618</v>
      </c>
      <c r="C53" s="79">
        <v>795</v>
      </c>
      <c r="D53" s="80">
        <v>1565</v>
      </c>
      <c r="E53" s="79">
        <v>1208</v>
      </c>
      <c r="F53" s="80">
        <v>314</v>
      </c>
      <c r="G53" s="81">
        <v>204</v>
      </c>
      <c r="H53" s="82">
        <f>SUM(B53:G53)</f>
        <v>7704</v>
      </c>
      <c r="I53" s="83">
        <f t="shared" si="10"/>
        <v>294.56184689972127</v>
      </c>
    </row>
    <row r="54" spans="1:9" ht="16.5" x14ac:dyDescent="0.25">
      <c r="A54" s="159" t="s">
        <v>31</v>
      </c>
      <c r="B54" s="78">
        <v>112</v>
      </c>
      <c r="C54" s="79">
        <v>59</v>
      </c>
      <c r="D54" s="80">
        <v>130</v>
      </c>
      <c r="E54" s="79">
        <v>105</v>
      </c>
      <c r="F54" s="80">
        <v>25</v>
      </c>
      <c r="G54" s="81">
        <v>39</v>
      </c>
      <c r="H54" s="82">
        <f>SUM(B54:G54)</f>
        <v>470</v>
      </c>
      <c r="I54" s="83">
        <f t="shared" si="10"/>
        <v>17.970413816571781</v>
      </c>
    </row>
    <row r="55" spans="1:9" ht="16.5" x14ac:dyDescent="0.25">
      <c r="A55" s="39" t="s">
        <v>11</v>
      </c>
      <c r="B55" s="40">
        <v>4132</v>
      </c>
      <c r="C55" s="41">
        <v>1791</v>
      </c>
      <c r="D55" s="42">
        <v>4485</v>
      </c>
      <c r="E55" s="41">
        <v>3033</v>
      </c>
      <c r="F55" s="42">
        <v>552</v>
      </c>
      <c r="G55" s="43">
        <v>340</v>
      </c>
      <c r="H55" s="44">
        <f>SUM(B55:G55)</f>
        <v>14333</v>
      </c>
      <c r="I55" s="76">
        <f t="shared" si="10"/>
        <v>548.02115155941135</v>
      </c>
    </row>
    <row r="56" spans="1:9" ht="16.5" x14ac:dyDescent="0.25">
      <c r="A56" s="32" t="s">
        <v>45</v>
      </c>
      <c r="B56" s="33">
        <f t="shared" ref="B56:G56" si="13">SUM(B57:B60)</f>
        <v>877</v>
      </c>
      <c r="C56" s="33">
        <f t="shared" si="13"/>
        <v>375</v>
      </c>
      <c r="D56" s="33">
        <f t="shared" si="13"/>
        <v>670</v>
      </c>
      <c r="E56" s="33">
        <f t="shared" si="13"/>
        <v>517</v>
      </c>
      <c r="F56" s="33">
        <f t="shared" si="13"/>
        <v>123</v>
      </c>
      <c r="G56" s="33">
        <f t="shared" si="13"/>
        <v>114</v>
      </c>
      <c r="H56" s="44">
        <f>SUM(B56:G56)</f>
        <v>2676</v>
      </c>
      <c r="I56" s="75">
        <f t="shared" si="10"/>
        <v>102.3166539854172</v>
      </c>
    </row>
    <row r="57" spans="1:9" ht="16.5" x14ac:dyDescent="0.25">
      <c r="A57" s="159" t="s">
        <v>1</v>
      </c>
      <c r="B57" s="145">
        <v>654</v>
      </c>
      <c r="C57" s="146">
        <v>160</v>
      </c>
      <c r="D57" s="147">
        <v>283</v>
      </c>
      <c r="E57" s="148">
        <v>277</v>
      </c>
      <c r="F57" s="147">
        <v>90</v>
      </c>
      <c r="G57" s="149">
        <v>92</v>
      </c>
      <c r="H57" s="106">
        <f t="shared" si="2"/>
        <v>1556</v>
      </c>
      <c r="I57" s="121">
        <f t="shared" si="10"/>
        <v>59.493540209756794</v>
      </c>
    </row>
    <row r="58" spans="1:9" ht="16.5" x14ac:dyDescent="0.25">
      <c r="A58" s="159" t="s">
        <v>22</v>
      </c>
      <c r="B58" s="102">
        <v>125</v>
      </c>
      <c r="C58" s="103">
        <v>106</v>
      </c>
      <c r="D58" s="104">
        <v>183</v>
      </c>
      <c r="E58" s="103">
        <v>124</v>
      </c>
      <c r="F58" s="104">
        <v>12</v>
      </c>
      <c r="G58" s="105">
        <v>5</v>
      </c>
      <c r="H58" s="106">
        <f t="shared" si="2"/>
        <v>555</v>
      </c>
      <c r="I58" s="121">
        <f t="shared" si="10"/>
        <v>21.220382272760297</v>
      </c>
    </row>
    <row r="59" spans="1:9" ht="16.5" x14ac:dyDescent="0.25">
      <c r="A59" s="159" t="s">
        <v>23</v>
      </c>
      <c r="B59" s="102">
        <v>0</v>
      </c>
      <c r="C59" s="103">
        <v>0</v>
      </c>
      <c r="D59" s="104">
        <v>5</v>
      </c>
      <c r="E59" s="103">
        <v>2</v>
      </c>
      <c r="F59" s="104">
        <v>0</v>
      </c>
      <c r="G59" s="105">
        <v>0</v>
      </c>
      <c r="H59" s="106">
        <f>SUM(B59:G59)</f>
        <v>7</v>
      </c>
      <c r="I59" s="170">
        <f t="shared" si="10"/>
        <v>0.2676444610978776</v>
      </c>
    </row>
    <row r="60" spans="1:9" ht="16.5" x14ac:dyDescent="0.25">
      <c r="A60" s="159" t="s">
        <v>59</v>
      </c>
      <c r="B60" s="145">
        <v>98</v>
      </c>
      <c r="C60" s="148">
        <v>109</v>
      </c>
      <c r="D60" s="147">
        <v>199</v>
      </c>
      <c r="E60" s="148">
        <v>114</v>
      </c>
      <c r="F60" s="147">
        <v>21</v>
      </c>
      <c r="G60" s="149">
        <v>17</v>
      </c>
      <c r="H60" s="106">
        <f t="shared" si="2"/>
        <v>558</v>
      </c>
      <c r="I60" s="121">
        <f t="shared" si="10"/>
        <v>21.335087041802243</v>
      </c>
    </row>
    <row r="61" spans="1:9" ht="16.5" x14ac:dyDescent="0.25">
      <c r="A61" s="32" t="s">
        <v>42</v>
      </c>
      <c r="B61" s="33">
        <f t="shared" ref="B61:G61" si="14">SUM(B62:B65)</f>
        <v>9919</v>
      </c>
      <c r="C61" s="34">
        <f t="shared" si="14"/>
        <v>2822</v>
      </c>
      <c r="D61" s="31">
        <f t="shared" si="14"/>
        <v>5450</v>
      </c>
      <c r="E61" s="34">
        <f t="shared" si="14"/>
        <v>3159</v>
      </c>
      <c r="F61" s="31">
        <f t="shared" si="14"/>
        <v>634</v>
      </c>
      <c r="G61" s="35">
        <f t="shared" si="14"/>
        <v>592</v>
      </c>
      <c r="H61" s="36">
        <f t="shared" si="2"/>
        <v>22576</v>
      </c>
      <c r="I61" s="75">
        <f t="shared" si="10"/>
        <v>863.19162196366926</v>
      </c>
    </row>
    <row r="62" spans="1:9" ht="16.5" x14ac:dyDescent="0.25">
      <c r="A62" s="159" t="s">
        <v>1</v>
      </c>
      <c r="B62" s="145">
        <v>9511</v>
      </c>
      <c r="C62" s="148">
        <v>2156</v>
      </c>
      <c r="D62" s="147">
        <v>4210</v>
      </c>
      <c r="E62" s="148">
        <v>2620</v>
      </c>
      <c r="F62" s="147">
        <v>589</v>
      </c>
      <c r="G62" s="149">
        <v>571</v>
      </c>
      <c r="H62" s="106">
        <f t="shared" si="2"/>
        <v>19657</v>
      </c>
      <c r="I62" s="121">
        <f t="shared" si="10"/>
        <v>751.58388168585418</v>
      </c>
    </row>
    <row r="63" spans="1:9" ht="16.5" x14ac:dyDescent="0.25">
      <c r="A63" s="159" t="s">
        <v>22</v>
      </c>
      <c r="B63" s="102">
        <v>0</v>
      </c>
      <c r="C63" s="103">
        <v>0</v>
      </c>
      <c r="D63" s="104">
        <v>0</v>
      </c>
      <c r="E63" s="103">
        <v>0</v>
      </c>
      <c r="F63" s="104">
        <v>0</v>
      </c>
      <c r="G63" s="105">
        <v>0</v>
      </c>
      <c r="H63" s="106">
        <f t="shared" si="2"/>
        <v>0</v>
      </c>
      <c r="I63" s="121">
        <f t="shared" si="10"/>
        <v>0</v>
      </c>
    </row>
    <row r="64" spans="1:9" ht="16.5" x14ac:dyDescent="0.25">
      <c r="A64" s="159" t="s">
        <v>23</v>
      </c>
      <c r="B64" s="145">
        <v>381</v>
      </c>
      <c r="C64" s="148">
        <v>633</v>
      </c>
      <c r="D64" s="147">
        <v>1158</v>
      </c>
      <c r="E64" s="148">
        <v>504</v>
      </c>
      <c r="F64" s="147">
        <v>40</v>
      </c>
      <c r="G64" s="149">
        <v>21</v>
      </c>
      <c r="H64" s="131">
        <f>SUM(B64:G64)</f>
        <v>2737</v>
      </c>
      <c r="I64" s="150">
        <f t="shared" si="10"/>
        <v>104.64898428927015</v>
      </c>
    </row>
    <row r="65" spans="1:9" ht="16.5" x14ac:dyDescent="0.25">
      <c r="A65" s="159" t="s">
        <v>59</v>
      </c>
      <c r="B65" s="145">
        <v>27</v>
      </c>
      <c r="C65" s="148">
        <v>33</v>
      </c>
      <c r="D65" s="147">
        <v>82</v>
      </c>
      <c r="E65" s="148">
        <v>35</v>
      </c>
      <c r="F65" s="147">
        <v>5</v>
      </c>
      <c r="G65" s="149">
        <v>0</v>
      </c>
      <c r="H65" s="106">
        <f t="shared" si="2"/>
        <v>182</v>
      </c>
      <c r="I65" s="121">
        <f t="shared" si="10"/>
        <v>6.9587559885448167</v>
      </c>
    </row>
    <row r="66" spans="1:9" ht="16.5" x14ac:dyDescent="0.25">
      <c r="A66" s="32" t="s">
        <v>41</v>
      </c>
      <c r="B66" s="33">
        <f t="shared" ref="B66:G66" si="15">SUM(B67:B70)</f>
        <v>18</v>
      </c>
      <c r="C66" s="34">
        <f t="shared" si="15"/>
        <v>5</v>
      </c>
      <c r="D66" s="31">
        <f t="shared" si="15"/>
        <v>19</v>
      </c>
      <c r="E66" s="34">
        <f t="shared" si="15"/>
        <v>13</v>
      </c>
      <c r="F66" s="31">
        <f t="shared" si="15"/>
        <v>1</v>
      </c>
      <c r="G66" s="35">
        <f t="shared" si="15"/>
        <v>7</v>
      </c>
      <c r="H66" s="36">
        <f t="shared" si="2"/>
        <v>63</v>
      </c>
      <c r="I66" s="75">
        <f t="shared" si="10"/>
        <v>2.4088001498808982</v>
      </c>
    </row>
    <row r="67" spans="1:9" ht="16.5" x14ac:dyDescent="0.25">
      <c r="A67" s="159" t="s">
        <v>17</v>
      </c>
      <c r="B67" s="102">
        <v>16</v>
      </c>
      <c r="C67" s="103">
        <v>1</v>
      </c>
      <c r="D67" s="104">
        <v>6</v>
      </c>
      <c r="E67" s="103">
        <v>7</v>
      </c>
      <c r="F67" s="104">
        <v>1</v>
      </c>
      <c r="G67" s="105">
        <v>6</v>
      </c>
      <c r="H67" s="106">
        <f t="shared" si="2"/>
        <v>37</v>
      </c>
      <c r="I67" s="121">
        <f t="shared" si="10"/>
        <v>1.4146921515173529</v>
      </c>
    </row>
    <row r="68" spans="1:9" ht="16.5" x14ac:dyDescent="0.25">
      <c r="A68" s="160" t="s">
        <v>18</v>
      </c>
      <c r="B68" s="145">
        <v>1</v>
      </c>
      <c r="C68" s="148">
        <v>2</v>
      </c>
      <c r="D68" s="147">
        <v>5</v>
      </c>
      <c r="E68" s="148">
        <v>4</v>
      </c>
      <c r="F68" s="147">
        <v>0</v>
      </c>
      <c r="G68" s="149">
        <v>1</v>
      </c>
      <c r="H68" s="106">
        <f t="shared" si="2"/>
        <v>13</v>
      </c>
      <c r="I68" s="170">
        <f t="shared" ref="I68:I70" si="16">H68/B$71 * 100000</f>
        <v>0.49705399918177262</v>
      </c>
    </row>
    <row r="69" spans="1:9" ht="16.5" x14ac:dyDescent="0.25">
      <c r="A69" s="159" t="s">
        <v>19</v>
      </c>
      <c r="B69" s="102">
        <v>1</v>
      </c>
      <c r="C69" s="103">
        <v>2</v>
      </c>
      <c r="D69" s="104">
        <v>7</v>
      </c>
      <c r="E69" s="103">
        <v>2</v>
      </c>
      <c r="F69" s="104">
        <v>0</v>
      </c>
      <c r="G69" s="105">
        <v>0</v>
      </c>
      <c r="H69" s="106">
        <f t="shared" ref="H69:H70" si="17">SUM(B69:G69)</f>
        <v>12</v>
      </c>
      <c r="I69" s="170">
        <f t="shared" si="16"/>
        <v>0.45881907616779011</v>
      </c>
    </row>
    <row r="70" spans="1:9" ht="16.5" x14ac:dyDescent="0.25">
      <c r="A70" s="159" t="s">
        <v>58</v>
      </c>
      <c r="B70" s="102">
        <v>0</v>
      </c>
      <c r="C70" s="103">
        <v>0</v>
      </c>
      <c r="D70" s="104">
        <v>1</v>
      </c>
      <c r="E70" s="103">
        <v>0</v>
      </c>
      <c r="F70" s="147">
        <v>0</v>
      </c>
      <c r="G70" s="149">
        <v>0</v>
      </c>
      <c r="H70" s="106">
        <f t="shared" si="17"/>
        <v>1</v>
      </c>
      <c r="I70" s="170">
        <f t="shared" si="16"/>
        <v>3.8234923013982514E-2</v>
      </c>
    </row>
    <row r="71" spans="1:9" ht="14.25" x14ac:dyDescent="0.2">
      <c r="A71" s="69" t="s">
        <v>62</v>
      </c>
      <c r="B71" s="207">
        <v>2615410</v>
      </c>
      <c r="C71" s="207"/>
      <c r="D71" s="207"/>
      <c r="E71" s="207"/>
      <c r="F71" s="207"/>
      <c r="G71" s="207"/>
      <c r="H71" s="207"/>
      <c r="I71" s="207"/>
    </row>
    <row r="72" spans="1:9" ht="14.25" x14ac:dyDescent="0.2">
      <c r="A72" s="69" t="s">
        <v>13</v>
      </c>
      <c r="B72" s="70"/>
      <c r="C72" s="71"/>
      <c r="D72" s="72"/>
      <c r="E72" s="70"/>
      <c r="F72" s="71"/>
      <c r="G72" s="73"/>
      <c r="H72" s="69"/>
      <c r="I72" s="69"/>
    </row>
    <row r="73" spans="1:9" x14ac:dyDescent="0.2">
      <c r="A73" s="208" t="s">
        <v>14</v>
      </c>
      <c r="B73" s="209"/>
      <c r="C73" s="209"/>
      <c r="D73" s="209"/>
      <c r="E73" s="209"/>
      <c r="F73" s="209"/>
      <c r="G73" s="209"/>
      <c r="H73" s="209"/>
      <c r="I73" s="209"/>
    </row>
    <row r="74" spans="1:9" ht="14.25" x14ac:dyDescent="0.2">
      <c r="A74" s="74" t="s">
        <v>81</v>
      </c>
      <c r="B74" s="70"/>
      <c r="C74" s="71"/>
      <c r="D74" s="72"/>
      <c r="E74" s="70"/>
      <c r="F74" s="71"/>
      <c r="G74" s="73"/>
      <c r="H74" s="69"/>
      <c r="I74" s="69"/>
    </row>
    <row r="75" spans="1:9" ht="15" x14ac:dyDescent="0.2">
      <c r="A75" s="1"/>
      <c r="B75" s="11"/>
      <c r="C75" s="2"/>
      <c r="D75" s="22"/>
      <c r="E75" s="11"/>
      <c r="F75" s="2"/>
      <c r="G75" s="1"/>
      <c r="H75" s="1"/>
      <c r="I75" s="1"/>
    </row>
  </sheetData>
  <mergeCells count="4">
    <mergeCell ref="A2:A3"/>
    <mergeCell ref="B2:G2"/>
    <mergeCell ref="B71:I71"/>
    <mergeCell ref="A73:I73"/>
  </mergeCells>
  <pageMargins left="0.7" right="0.7" top="0.75" bottom="0.75" header="0.3" footer="0.3"/>
  <pageSetup orientation="portrait" r:id="rId1"/>
  <ignoredErrors>
    <ignoredError sqref="B29:G29 B52:G52" formulaRange="1"/>
    <ignoredError sqref="H35" formula="1"/>
    <ignoredError sqref="B36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5"/>
  <sheetViews>
    <sheetView topLeftCell="A49" zoomScale="70" zoomScaleNormal="70" workbookViewId="0">
      <selection activeCell="A74" sqref="A74"/>
    </sheetView>
  </sheetViews>
  <sheetFormatPr defaultRowHeight="12.75" x14ac:dyDescent="0.2"/>
  <cols>
    <col min="1" max="1" width="55.6640625" customWidth="1"/>
    <col min="2" max="5" width="10.6640625" bestFit="1" customWidth="1"/>
    <col min="6" max="6" width="10.5" customWidth="1"/>
    <col min="7" max="7" width="10.6640625" bestFit="1" customWidth="1"/>
    <col min="8" max="8" width="12.33203125" bestFit="1" customWidth="1"/>
    <col min="9" max="9" width="23" customWidth="1"/>
  </cols>
  <sheetData>
    <row r="1" spans="1:9" ht="20.25" x14ac:dyDescent="0.3">
      <c r="A1" s="97" t="s">
        <v>72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ht="16.5" x14ac:dyDescent="0.25">
      <c r="A4" s="32" t="s">
        <v>48</v>
      </c>
      <c r="B4" s="33">
        <f t="shared" ref="B4:G4" si="0">SUM(B5:B8)</f>
        <v>2134</v>
      </c>
      <c r="C4" s="34">
        <f t="shared" si="0"/>
        <v>1733</v>
      </c>
      <c r="D4" s="31">
        <f t="shared" si="0"/>
        <v>4004</v>
      </c>
      <c r="E4" s="34">
        <f t="shared" si="0"/>
        <v>2463</v>
      </c>
      <c r="F4" s="31">
        <f t="shared" si="0"/>
        <v>598</v>
      </c>
      <c r="G4" s="35">
        <f t="shared" si="0"/>
        <v>432</v>
      </c>
      <c r="H4" s="36">
        <f>SUM(B4:G4)</f>
        <v>11364</v>
      </c>
      <c r="I4" s="62">
        <f t="shared" ref="I4:I35" si="1">H4/B$71 * 100000</f>
        <v>439.94996556357847</v>
      </c>
    </row>
    <row r="5" spans="1:9" ht="16.5" x14ac:dyDescent="0.25">
      <c r="A5" s="159" t="s">
        <v>17</v>
      </c>
      <c r="B5" s="102">
        <v>2054</v>
      </c>
      <c r="C5" s="103">
        <v>1583</v>
      </c>
      <c r="D5" s="104">
        <v>3687</v>
      </c>
      <c r="E5" s="103">
        <v>2352</v>
      </c>
      <c r="F5" s="104">
        <v>593</v>
      </c>
      <c r="G5" s="105">
        <v>426</v>
      </c>
      <c r="H5" s="106">
        <f t="shared" ref="H5:H68" si="2">SUM(B5:G5)</f>
        <v>10695</v>
      </c>
      <c r="I5" s="107">
        <f t="shared" si="1"/>
        <v>414.0500599878979</v>
      </c>
    </row>
    <row r="6" spans="1:9" ht="16.5" x14ac:dyDescent="0.25">
      <c r="A6" s="159" t="s">
        <v>18</v>
      </c>
      <c r="B6" s="102">
        <v>50</v>
      </c>
      <c r="C6" s="103">
        <v>30</v>
      </c>
      <c r="D6" s="104">
        <v>86</v>
      </c>
      <c r="E6" s="103">
        <v>36</v>
      </c>
      <c r="F6" s="104">
        <v>1</v>
      </c>
      <c r="G6" s="105">
        <v>3</v>
      </c>
      <c r="H6" s="106">
        <f t="shared" si="2"/>
        <v>206</v>
      </c>
      <c r="I6" s="107">
        <f t="shared" si="1"/>
        <v>7.975157770687888</v>
      </c>
    </row>
    <row r="7" spans="1:9" ht="16.5" x14ac:dyDescent="0.25">
      <c r="A7" s="159" t="s">
        <v>19</v>
      </c>
      <c r="B7" s="102">
        <v>17</v>
      </c>
      <c r="C7" s="103">
        <v>113</v>
      </c>
      <c r="D7" s="104">
        <v>219</v>
      </c>
      <c r="E7" s="103">
        <v>71</v>
      </c>
      <c r="F7" s="104">
        <v>4</v>
      </c>
      <c r="G7" s="105">
        <v>3</v>
      </c>
      <c r="H7" s="106">
        <f t="shared" si="2"/>
        <v>427</v>
      </c>
      <c r="I7" s="107">
        <f t="shared" si="1"/>
        <v>16.531030913027806</v>
      </c>
    </row>
    <row r="8" spans="1:9" ht="16.5" x14ac:dyDescent="0.25">
      <c r="A8" s="159" t="s">
        <v>58</v>
      </c>
      <c r="B8" s="108">
        <v>13</v>
      </c>
      <c r="C8" s="109">
        <v>7</v>
      </c>
      <c r="D8" s="110">
        <v>12</v>
      </c>
      <c r="E8" s="109">
        <v>4</v>
      </c>
      <c r="F8" s="110">
        <v>0</v>
      </c>
      <c r="G8" s="111">
        <v>0</v>
      </c>
      <c r="H8" s="106">
        <f t="shared" si="2"/>
        <v>36</v>
      </c>
      <c r="I8" s="107">
        <f t="shared" si="1"/>
        <v>1.3937168919648737</v>
      </c>
    </row>
    <row r="9" spans="1:9" ht="16.5" x14ac:dyDescent="0.25">
      <c r="A9" s="32" t="s">
        <v>60</v>
      </c>
      <c r="B9" s="33">
        <f t="shared" ref="B9:G9" si="3">SUM(B10:B13)</f>
        <v>45</v>
      </c>
      <c r="C9" s="34">
        <f t="shared" si="3"/>
        <v>8</v>
      </c>
      <c r="D9" s="31">
        <f t="shared" si="3"/>
        <v>12</v>
      </c>
      <c r="E9" s="34">
        <f t="shared" si="3"/>
        <v>5</v>
      </c>
      <c r="F9" s="31">
        <f t="shared" si="3"/>
        <v>0</v>
      </c>
      <c r="G9" s="35">
        <f t="shared" si="3"/>
        <v>1</v>
      </c>
      <c r="H9" s="36">
        <f t="shared" si="2"/>
        <v>71</v>
      </c>
      <c r="I9" s="62">
        <f t="shared" si="1"/>
        <v>2.7487194258196119</v>
      </c>
    </row>
    <row r="10" spans="1:9" ht="16.5" x14ac:dyDescent="0.25">
      <c r="A10" s="159" t="s">
        <v>17</v>
      </c>
      <c r="B10" s="102">
        <v>44</v>
      </c>
      <c r="C10" s="103">
        <v>8</v>
      </c>
      <c r="D10" s="104">
        <v>12</v>
      </c>
      <c r="E10" s="103">
        <v>4</v>
      </c>
      <c r="F10" s="104">
        <v>0</v>
      </c>
      <c r="G10" s="105">
        <v>1</v>
      </c>
      <c r="H10" s="106">
        <f t="shared" si="2"/>
        <v>69</v>
      </c>
      <c r="I10" s="107">
        <f t="shared" si="1"/>
        <v>2.6712907095993415</v>
      </c>
    </row>
    <row r="11" spans="1:9" ht="16.5" x14ac:dyDescent="0.25">
      <c r="A11" s="159" t="s">
        <v>18</v>
      </c>
      <c r="B11" s="102">
        <v>1</v>
      </c>
      <c r="C11" s="103">
        <v>0</v>
      </c>
      <c r="D11" s="104">
        <v>0</v>
      </c>
      <c r="E11" s="103">
        <v>1</v>
      </c>
      <c r="F11" s="104">
        <v>0</v>
      </c>
      <c r="G11" s="105">
        <v>0</v>
      </c>
      <c r="H11" s="106">
        <f>SUM(B11:G11)</f>
        <v>2</v>
      </c>
      <c r="I11" s="169">
        <f t="shared" si="1"/>
        <v>7.7428716220270768E-2</v>
      </c>
    </row>
    <row r="12" spans="1:9" ht="16.5" x14ac:dyDescent="0.25">
      <c r="A12" s="159" t="s">
        <v>19</v>
      </c>
      <c r="B12" s="102">
        <v>0</v>
      </c>
      <c r="C12" s="103">
        <v>0</v>
      </c>
      <c r="D12" s="104">
        <v>0</v>
      </c>
      <c r="E12" s="103">
        <v>0</v>
      </c>
      <c r="F12" s="104">
        <v>0</v>
      </c>
      <c r="G12" s="105">
        <v>0</v>
      </c>
      <c r="H12" s="106">
        <f>SUM(B12:G12)</f>
        <v>0</v>
      </c>
      <c r="I12" s="107">
        <f t="shared" si="1"/>
        <v>0</v>
      </c>
    </row>
    <row r="13" spans="1:9" ht="16.5" x14ac:dyDescent="0.25">
      <c r="A13" s="159" t="s">
        <v>58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</row>
    <row r="14" spans="1:9" ht="16.5" x14ac:dyDescent="0.25">
      <c r="A14" s="32" t="s">
        <v>49</v>
      </c>
      <c r="B14" s="33">
        <f t="shared" ref="B14:G14" si="4">SUM(B15:B18)</f>
        <v>20512</v>
      </c>
      <c r="C14" s="34">
        <f t="shared" si="4"/>
        <v>2648</v>
      </c>
      <c r="D14" s="31">
        <f t="shared" si="4"/>
        <v>7038</v>
      </c>
      <c r="E14" s="34">
        <f t="shared" si="4"/>
        <v>9773</v>
      </c>
      <c r="F14" s="31">
        <f t="shared" si="4"/>
        <v>4475</v>
      </c>
      <c r="G14" s="35">
        <f t="shared" si="4"/>
        <v>8533</v>
      </c>
      <c r="H14" s="36">
        <f t="shared" si="2"/>
        <v>52979</v>
      </c>
      <c r="I14" s="75">
        <f t="shared" si="1"/>
        <v>2051.0479783168621</v>
      </c>
    </row>
    <row r="15" spans="1:9" ht="16.5" x14ac:dyDescent="0.25">
      <c r="A15" s="159" t="s">
        <v>17</v>
      </c>
      <c r="B15" s="102">
        <v>20492</v>
      </c>
      <c r="C15" s="103">
        <v>2643</v>
      </c>
      <c r="D15" s="104">
        <v>7027</v>
      </c>
      <c r="E15" s="103">
        <v>9766</v>
      </c>
      <c r="F15" s="104">
        <v>4475</v>
      </c>
      <c r="G15" s="105">
        <v>8532</v>
      </c>
      <c r="H15" s="106">
        <f t="shared" si="2"/>
        <v>52935</v>
      </c>
      <c r="I15" s="121">
        <f t="shared" si="1"/>
        <v>2049.3445465600166</v>
      </c>
    </row>
    <row r="16" spans="1:9" ht="16.5" x14ac:dyDescent="0.25">
      <c r="A16" s="159" t="s">
        <v>18</v>
      </c>
      <c r="B16" s="102">
        <v>0</v>
      </c>
      <c r="C16" s="103">
        <v>0</v>
      </c>
      <c r="D16" s="104">
        <v>3</v>
      </c>
      <c r="E16" s="103">
        <v>1</v>
      </c>
      <c r="F16" s="104">
        <v>0</v>
      </c>
      <c r="G16" s="105">
        <v>0</v>
      </c>
      <c r="H16" s="106">
        <f t="shared" si="2"/>
        <v>4</v>
      </c>
      <c r="I16" s="170">
        <f t="shared" si="1"/>
        <v>0.15485743244054154</v>
      </c>
    </row>
    <row r="17" spans="1:9" ht="16.5" x14ac:dyDescent="0.25">
      <c r="A17" s="159" t="s">
        <v>19</v>
      </c>
      <c r="B17" s="102">
        <v>0</v>
      </c>
      <c r="C17" s="103">
        <v>1</v>
      </c>
      <c r="D17" s="104">
        <v>2</v>
      </c>
      <c r="E17" s="103">
        <v>0</v>
      </c>
      <c r="F17" s="104">
        <v>0</v>
      </c>
      <c r="G17" s="105">
        <v>0</v>
      </c>
      <c r="H17" s="106">
        <f>SUM(B17:G17)</f>
        <v>3</v>
      </c>
      <c r="I17" s="170">
        <f t="shared" si="1"/>
        <v>0.11614307433040613</v>
      </c>
    </row>
    <row r="18" spans="1:9" ht="16.5" x14ac:dyDescent="0.25">
      <c r="A18" s="159" t="s">
        <v>58</v>
      </c>
      <c r="B18" s="115">
        <v>20</v>
      </c>
      <c r="C18" s="116">
        <v>4</v>
      </c>
      <c r="D18" s="117">
        <v>6</v>
      </c>
      <c r="E18" s="116">
        <v>6</v>
      </c>
      <c r="F18" s="117">
        <v>0</v>
      </c>
      <c r="G18" s="118">
        <v>1</v>
      </c>
      <c r="H18" s="119">
        <f>SUM(B18:G18)</f>
        <v>37</v>
      </c>
      <c r="I18" s="123">
        <f t="shared" si="1"/>
        <v>1.4324312500750089</v>
      </c>
    </row>
    <row r="19" spans="1:9" ht="16.5" x14ac:dyDescent="0.25">
      <c r="A19" s="162" t="s">
        <v>50</v>
      </c>
      <c r="B19" s="33">
        <f t="shared" ref="B19:G19" si="5">SUM(B20:B23)</f>
        <v>75</v>
      </c>
      <c r="C19" s="34">
        <f t="shared" si="5"/>
        <v>35</v>
      </c>
      <c r="D19" s="31">
        <f t="shared" si="5"/>
        <v>118</v>
      </c>
      <c r="E19" s="34">
        <f t="shared" si="5"/>
        <v>88</v>
      </c>
      <c r="F19" s="31">
        <f t="shared" si="5"/>
        <v>19</v>
      </c>
      <c r="G19" s="35">
        <f t="shared" si="5"/>
        <v>14</v>
      </c>
      <c r="H19" s="124">
        <f t="shared" si="2"/>
        <v>349</v>
      </c>
      <c r="I19" s="125">
        <f t="shared" si="1"/>
        <v>13.511310980437248</v>
      </c>
    </row>
    <row r="20" spans="1:9" ht="16.5" x14ac:dyDescent="0.25">
      <c r="A20" s="159" t="s">
        <v>17</v>
      </c>
      <c r="B20" s="102">
        <v>60</v>
      </c>
      <c r="C20" s="103">
        <v>33</v>
      </c>
      <c r="D20" s="104">
        <v>108</v>
      </c>
      <c r="E20" s="103">
        <v>76</v>
      </c>
      <c r="F20" s="104">
        <v>16</v>
      </c>
      <c r="G20" s="105">
        <v>13</v>
      </c>
      <c r="H20" s="106">
        <f t="shared" si="2"/>
        <v>306</v>
      </c>
      <c r="I20" s="121">
        <f t="shared" si="1"/>
        <v>11.846593581701427</v>
      </c>
    </row>
    <row r="21" spans="1:9" ht="16.5" x14ac:dyDescent="0.25">
      <c r="A21" s="159" t="s">
        <v>18</v>
      </c>
      <c r="B21" s="102">
        <v>0</v>
      </c>
      <c r="C21" s="103">
        <v>0</v>
      </c>
      <c r="D21" s="104">
        <v>1</v>
      </c>
      <c r="E21" s="103">
        <v>0</v>
      </c>
      <c r="F21" s="104">
        <v>0</v>
      </c>
      <c r="G21" s="105">
        <v>0</v>
      </c>
      <c r="H21" s="106">
        <f t="shared" si="2"/>
        <v>1</v>
      </c>
      <c r="I21" s="170">
        <f t="shared" si="1"/>
        <v>3.8714358110135384E-2</v>
      </c>
    </row>
    <row r="22" spans="1:9" ht="16.5" x14ac:dyDescent="0.25">
      <c r="A22" s="159" t="s">
        <v>19</v>
      </c>
      <c r="B22" s="102">
        <v>1</v>
      </c>
      <c r="C22" s="103">
        <v>0</v>
      </c>
      <c r="D22" s="104">
        <v>0</v>
      </c>
      <c r="E22" s="103">
        <v>0</v>
      </c>
      <c r="F22" s="104">
        <v>0</v>
      </c>
      <c r="G22" s="105">
        <v>0</v>
      </c>
      <c r="H22" s="106">
        <f t="shared" si="2"/>
        <v>1</v>
      </c>
      <c r="I22" s="170">
        <f t="shared" si="1"/>
        <v>3.8714358110135384E-2</v>
      </c>
    </row>
    <row r="23" spans="1:9" ht="16.5" x14ac:dyDescent="0.25">
      <c r="A23" s="159" t="s">
        <v>58</v>
      </c>
      <c r="B23" s="102">
        <v>14</v>
      </c>
      <c r="C23" s="103">
        <v>2</v>
      </c>
      <c r="D23" s="104">
        <v>9</v>
      </c>
      <c r="E23" s="103">
        <v>12</v>
      </c>
      <c r="F23" s="104">
        <v>3</v>
      </c>
      <c r="G23" s="105">
        <v>1</v>
      </c>
      <c r="H23" s="119">
        <f t="shared" si="2"/>
        <v>41</v>
      </c>
      <c r="I23" s="123">
        <f t="shared" si="1"/>
        <v>1.5872886825155506</v>
      </c>
    </row>
    <row r="24" spans="1:9" ht="16.5" x14ac:dyDescent="0.25">
      <c r="A24" s="162" t="s">
        <v>51</v>
      </c>
      <c r="B24" s="33">
        <f t="shared" ref="B24:G24" si="6">SUM(B25:B28)</f>
        <v>668</v>
      </c>
      <c r="C24" s="34">
        <f t="shared" si="6"/>
        <v>267</v>
      </c>
      <c r="D24" s="31">
        <f t="shared" si="6"/>
        <v>598</v>
      </c>
      <c r="E24" s="34">
        <f t="shared" si="6"/>
        <v>468</v>
      </c>
      <c r="F24" s="31">
        <f t="shared" si="6"/>
        <v>91</v>
      </c>
      <c r="G24" s="35">
        <f t="shared" si="6"/>
        <v>70</v>
      </c>
      <c r="H24" s="124">
        <f t="shared" si="2"/>
        <v>2162</v>
      </c>
      <c r="I24" s="125">
        <f t="shared" si="1"/>
        <v>83.7004422341127</v>
      </c>
    </row>
    <row r="25" spans="1:9" ht="16.5" x14ac:dyDescent="0.25">
      <c r="A25" s="159" t="s">
        <v>17</v>
      </c>
      <c r="B25" s="102">
        <v>663</v>
      </c>
      <c r="C25" s="103">
        <v>260</v>
      </c>
      <c r="D25" s="104">
        <v>592</v>
      </c>
      <c r="E25" s="103">
        <v>463</v>
      </c>
      <c r="F25" s="104">
        <v>87</v>
      </c>
      <c r="G25" s="105">
        <v>69</v>
      </c>
      <c r="H25" s="106">
        <f>SUM(B25:G25)</f>
        <v>2134</v>
      </c>
      <c r="I25" s="121">
        <f t="shared" si="1"/>
        <v>82.616440207028901</v>
      </c>
    </row>
    <row r="26" spans="1:9" ht="16.5" x14ac:dyDescent="0.25">
      <c r="A26" s="159" t="s">
        <v>18</v>
      </c>
      <c r="B26" s="102">
        <v>0</v>
      </c>
      <c r="C26" s="103">
        <v>0</v>
      </c>
      <c r="D26" s="104">
        <v>0</v>
      </c>
      <c r="E26" s="103">
        <v>0</v>
      </c>
      <c r="F26" s="104">
        <v>0</v>
      </c>
      <c r="G26" s="105">
        <v>0</v>
      </c>
      <c r="H26" s="106">
        <f>SUM(B26:G26)</f>
        <v>0</v>
      </c>
      <c r="I26" s="121">
        <f t="shared" si="1"/>
        <v>0</v>
      </c>
    </row>
    <row r="27" spans="1:9" ht="16.5" x14ac:dyDescent="0.25">
      <c r="A27" s="159" t="s">
        <v>19</v>
      </c>
      <c r="B27" s="102">
        <v>2</v>
      </c>
      <c r="C27" s="103">
        <v>2</v>
      </c>
      <c r="D27" s="104">
        <v>4</v>
      </c>
      <c r="E27" s="103">
        <v>5</v>
      </c>
      <c r="F27" s="104">
        <v>3</v>
      </c>
      <c r="G27" s="105">
        <v>0</v>
      </c>
      <c r="H27" s="106">
        <f>SUM(B27:G27)</f>
        <v>16</v>
      </c>
      <c r="I27" s="170">
        <f t="shared" si="1"/>
        <v>0.61942972976216615</v>
      </c>
    </row>
    <row r="28" spans="1:9" ht="16.5" x14ac:dyDescent="0.25">
      <c r="A28" s="159" t="s">
        <v>58</v>
      </c>
      <c r="B28" s="127">
        <v>3</v>
      </c>
      <c r="C28" s="128">
        <v>5</v>
      </c>
      <c r="D28" s="129">
        <v>2</v>
      </c>
      <c r="E28" s="128">
        <v>0</v>
      </c>
      <c r="F28" s="129">
        <v>1</v>
      </c>
      <c r="G28" s="130">
        <v>1</v>
      </c>
      <c r="H28" s="131">
        <f t="shared" si="2"/>
        <v>12</v>
      </c>
      <c r="I28" s="172">
        <f t="shared" si="1"/>
        <v>0.46457229732162453</v>
      </c>
    </row>
    <row r="29" spans="1:9" ht="16.5" x14ac:dyDescent="0.25">
      <c r="A29" s="32" t="s">
        <v>52</v>
      </c>
      <c r="B29" s="33">
        <f t="shared" ref="B29:G29" si="7">SUM(B30:B33)</f>
        <v>28</v>
      </c>
      <c r="C29" s="34">
        <f t="shared" si="7"/>
        <v>127</v>
      </c>
      <c r="D29" s="31">
        <f t="shared" si="7"/>
        <v>123</v>
      </c>
      <c r="E29" s="34">
        <f t="shared" si="7"/>
        <v>39</v>
      </c>
      <c r="F29" s="31">
        <f t="shared" si="7"/>
        <v>3</v>
      </c>
      <c r="G29" s="35">
        <f t="shared" si="7"/>
        <v>4</v>
      </c>
      <c r="H29" s="36">
        <f t="shared" si="2"/>
        <v>324</v>
      </c>
      <c r="I29" s="75">
        <f t="shared" si="1"/>
        <v>12.543452027683863</v>
      </c>
    </row>
    <row r="30" spans="1:9" ht="16.5" x14ac:dyDescent="0.25">
      <c r="A30" s="159" t="s">
        <v>17</v>
      </c>
      <c r="B30" s="102">
        <v>13</v>
      </c>
      <c r="C30" s="103">
        <v>78</v>
      </c>
      <c r="D30" s="104">
        <v>63</v>
      </c>
      <c r="E30" s="103">
        <v>23</v>
      </c>
      <c r="F30" s="104">
        <v>1</v>
      </c>
      <c r="G30" s="105">
        <v>2</v>
      </c>
      <c r="H30" s="106">
        <f t="shared" si="2"/>
        <v>180</v>
      </c>
      <c r="I30" s="121">
        <f t="shared" si="1"/>
        <v>6.9685844598243687</v>
      </c>
    </row>
    <row r="31" spans="1:9" ht="16.5" x14ac:dyDescent="0.25">
      <c r="A31" s="159" t="s">
        <v>18</v>
      </c>
      <c r="B31" s="102">
        <v>0</v>
      </c>
      <c r="C31" s="103">
        <v>1</v>
      </c>
      <c r="D31" s="104">
        <v>3</v>
      </c>
      <c r="E31" s="103">
        <v>0</v>
      </c>
      <c r="F31" s="104">
        <v>0</v>
      </c>
      <c r="G31" s="105">
        <v>0</v>
      </c>
      <c r="H31" s="106">
        <f t="shared" si="2"/>
        <v>4</v>
      </c>
      <c r="I31" s="170">
        <f t="shared" si="1"/>
        <v>0.15485743244054154</v>
      </c>
    </row>
    <row r="32" spans="1:9" ht="16.5" x14ac:dyDescent="0.25">
      <c r="A32" s="159" t="s">
        <v>19</v>
      </c>
      <c r="B32" s="102">
        <v>10</v>
      </c>
      <c r="C32" s="103">
        <v>36</v>
      </c>
      <c r="D32" s="104">
        <v>48</v>
      </c>
      <c r="E32" s="103">
        <v>11</v>
      </c>
      <c r="F32" s="104">
        <v>2</v>
      </c>
      <c r="G32" s="105">
        <v>2</v>
      </c>
      <c r="H32" s="106">
        <f t="shared" si="2"/>
        <v>109</v>
      </c>
      <c r="I32" s="121">
        <f t="shared" si="1"/>
        <v>4.2198650340047568</v>
      </c>
    </row>
    <row r="33" spans="1:9" ht="16.5" x14ac:dyDescent="0.25">
      <c r="A33" s="160" t="s">
        <v>58</v>
      </c>
      <c r="B33" s="102">
        <v>5</v>
      </c>
      <c r="C33" s="103">
        <v>12</v>
      </c>
      <c r="D33" s="104">
        <v>9</v>
      </c>
      <c r="E33" s="103">
        <v>5</v>
      </c>
      <c r="F33" s="104">
        <v>0</v>
      </c>
      <c r="G33" s="105">
        <v>0</v>
      </c>
      <c r="H33" s="106">
        <f t="shared" si="2"/>
        <v>31</v>
      </c>
      <c r="I33" s="121">
        <f t="shared" si="1"/>
        <v>1.2001451014141968</v>
      </c>
    </row>
    <row r="34" spans="1:9" ht="16.5" x14ac:dyDescent="0.25">
      <c r="A34" s="39" t="s">
        <v>12</v>
      </c>
      <c r="B34" s="40">
        <v>21</v>
      </c>
      <c r="C34" s="41">
        <v>26</v>
      </c>
      <c r="D34" s="42">
        <v>117</v>
      </c>
      <c r="E34" s="41">
        <v>105</v>
      </c>
      <c r="F34" s="42">
        <v>23</v>
      </c>
      <c r="G34" s="43">
        <v>16</v>
      </c>
      <c r="H34" s="44">
        <f t="shared" si="2"/>
        <v>308</v>
      </c>
      <c r="I34" s="76">
        <f t="shared" si="1"/>
        <v>11.924022297921697</v>
      </c>
    </row>
    <row r="35" spans="1:9" ht="16.5" x14ac:dyDescent="0.25">
      <c r="A35" s="32" t="s">
        <v>53</v>
      </c>
      <c r="B35" s="33">
        <f>SUM(B36+B42+B43+B44)</f>
        <v>1932</v>
      </c>
      <c r="C35" s="34">
        <f t="shared" ref="C35:H35" si="8">SUM(C36+C42+C43+C44)</f>
        <v>3505</v>
      </c>
      <c r="D35" s="31">
        <f t="shared" si="8"/>
        <v>6060</v>
      </c>
      <c r="E35" s="34">
        <f t="shared" si="8"/>
        <v>4161</v>
      </c>
      <c r="F35" s="31">
        <f t="shared" si="8"/>
        <v>922</v>
      </c>
      <c r="G35" s="35">
        <f t="shared" si="8"/>
        <v>563</v>
      </c>
      <c r="H35" s="36">
        <f t="shared" si="8"/>
        <v>17143</v>
      </c>
      <c r="I35" s="75">
        <f t="shared" si="1"/>
        <v>663.68024108205088</v>
      </c>
    </row>
    <row r="36" spans="1:9" ht="16.5" x14ac:dyDescent="0.25">
      <c r="A36" s="159" t="s">
        <v>17</v>
      </c>
      <c r="B36" s="102">
        <f t="shared" ref="B36:G36" si="9">SUM(B37:B41)</f>
        <v>1931</v>
      </c>
      <c r="C36" s="103">
        <f t="shared" si="9"/>
        <v>3499</v>
      </c>
      <c r="D36" s="104">
        <f t="shared" si="9"/>
        <v>6051</v>
      </c>
      <c r="E36" s="103">
        <f t="shared" si="9"/>
        <v>4158</v>
      </c>
      <c r="F36" s="104">
        <f t="shared" si="9"/>
        <v>922</v>
      </c>
      <c r="G36" s="105">
        <f t="shared" si="9"/>
        <v>563</v>
      </c>
      <c r="H36" s="106">
        <f t="shared" si="2"/>
        <v>17124</v>
      </c>
      <c r="I36" s="121">
        <f t="shared" ref="I36:I67" si="10">H36/B$71 * 100000</f>
        <v>662.94466827795827</v>
      </c>
    </row>
    <row r="37" spans="1:9" ht="16.5" x14ac:dyDescent="0.25">
      <c r="A37" s="159" t="s">
        <v>24</v>
      </c>
      <c r="B37" s="102">
        <v>1506</v>
      </c>
      <c r="C37" s="103">
        <v>2665</v>
      </c>
      <c r="D37" s="104">
        <v>4507</v>
      </c>
      <c r="E37" s="103">
        <v>3118</v>
      </c>
      <c r="F37" s="104">
        <v>712</v>
      </c>
      <c r="G37" s="105">
        <v>443</v>
      </c>
      <c r="H37" s="106">
        <f t="shared" si="2"/>
        <v>12951</v>
      </c>
      <c r="I37" s="121">
        <f t="shared" si="10"/>
        <v>501.38965188436333</v>
      </c>
    </row>
    <row r="38" spans="1:9" ht="16.5" x14ac:dyDescent="0.25">
      <c r="A38" s="159" t="s">
        <v>25</v>
      </c>
      <c r="B38" s="102">
        <v>49</v>
      </c>
      <c r="C38" s="103">
        <v>250</v>
      </c>
      <c r="D38" s="104">
        <v>408</v>
      </c>
      <c r="E38" s="103">
        <v>169</v>
      </c>
      <c r="F38" s="104">
        <v>18</v>
      </c>
      <c r="G38" s="105">
        <v>8</v>
      </c>
      <c r="H38" s="106">
        <f t="shared" si="2"/>
        <v>902</v>
      </c>
      <c r="I38" s="121">
        <f t="shared" si="10"/>
        <v>34.920351015342113</v>
      </c>
    </row>
    <row r="39" spans="1:9" ht="16.5" x14ac:dyDescent="0.25">
      <c r="A39" s="159" t="s">
        <v>26</v>
      </c>
      <c r="B39" s="102">
        <v>68</v>
      </c>
      <c r="C39" s="103">
        <v>89</v>
      </c>
      <c r="D39" s="104">
        <v>144</v>
      </c>
      <c r="E39" s="103">
        <v>140</v>
      </c>
      <c r="F39" s="104">
        <v>8</v>
      </c>
      <c r="G39" s="105">
        <v>5</v>
      </c>
      <c r="H39" s="106">
        <f t="shared" si="2"/>
        <v>454</v>
      </c>
      <c r="I39" s="121">
        <f t="shared" si="10"/>
        <v>17.576318582001463</v>
      </c>
    </row>
    <row r="40" spans="1:9" ht="16.5" x14ac:dyDescent="0.25">
      <c r="A40" s="159" t="s">
        <v>27</v>
      </c>
      <c r="B40" s="102">
        <v>164</v>
      </c>
      <c r="C40" s="103">
        <v>129</v>
      </c>
      <c r="D40" s="104">
        <v>268</v>
      </c>
      <c r="E40" s="103">
        <v>218</v>
      </c>
      <c r="F40" s="104">
        <v>67</v>
      </c>
      <c r="G40" s="105">
        <v>41</v>
      </c>
      <c r="H40" s="106">
        <f t="shared" si="2"/>
        <v>887</v>
      </c>
      <c r="I40" s="121">
        <f t="shared" si="10"/>
        <v>34.33963564369008</v>
      </c>
    </row>
    <row r="41" spans="1:9" ht="16.5" x14ac:dyDescent="0.25">
      <c r="A41" s="159" t="s">
        <v>28</v>
      </c>
      <c r="B41" s="102">
        <v>144</v>
      </c>
      <c r="C41" s="103">
        <v>366</v>
      </c>
      <c r="D41" s="104">
        <v>724</v>
      </c>
      <c r="E41" s="103">
        <v>513</v>
      </c>
      <c r="F41" s="104">
        <v>117</v>
      </c>
      <c r="G41" s="105">
        <v>66</v>
      </c>
      <c r="H41" s="106">
        <f t="shared" si="2"/>
        <v>1930</v>
      </c>
      <c r="I41" s="121">
        <f t="shared" si="10"/>
        <v>74.718711152561283</v>
      </c>
    </row>
    <row r="42" spans="1:9" ht="16.5" x14ac:dyDescent="0.25">
      <c r="A42" s="159" t="s">
        <v>18</v>
      </c>
      <c r="B42" s="102">
        <v>0</v>
      </c>
      <c r="C42" s="103">
        <v>0</v>
      </c>
      <c r="D42" s="104">
        <v>1</v>
      </c>
      <c r="E42" s="103">
        <v>0</v>
      </c>
      <c r="F42" s="104">
        <v>0</v>
      </c>
      <c r="G42" s="105">
        <v>0</v>
      </c>
      <c r="H42" s="106">
        <f t="shared" si="2"/>
        <v>1</v>
      </c>
      <c r="I42" s="170">
        <f t="shared" si="10"/>
        <v>3.8714358110135384E-2</v>
      </c>
    </row>
    <row r="43" spans="1:9" ht="16.5" x14ac:dyDescent="0.25">
      <c r="A43" s="159" t="s">
        <v>19</v>
      </c>
      <c r="B43" s="133">
        <v>1</v>
      </c>
      <c r="C43" s="134">
        <v>6</v>
      </c>
      <c r="D43" s="135">
        <v>6</v>
      </c>
      <c r="E43" s="134">
        <v>1</v>
      </c>
      <c r="F43" s="135">
        <v>0</v>
      </c>
      <c r="G43" s="136">
        <v>0</v>
      </c>
      <c r="H43" s="106">
        <f>SUM(B43:G43)</f>
        <v>14</v>
      </c>
      <c r="I43" s="170">
        <f t="shared" si="10"/>
        <v>0.54200101354189534</v>
      </c>
    </row>
    <row r="44" spans="1:9" ht="16.5" x14ac:dyDescent="0.25">
      <c r="A44" s="159" t="s">
        <v>58</v>
      </c>
      <c r="B44" s="137">
        <v>0</v>
      </c>
      <c r="C44" s="138">
        <v>0</v>
      </c>
      <c r="D44" s="139">
        <v>2</v>
      </c>
      <c r="E44" s="138">
        <v>2</v>
      </c>
      <c r="F44" s="139">
        <v>0</v>
      </c>
      <c r="G44" s="140">
        <v>0</v>
      </c>
      <c r="H44" s="141">
        <f>SUM(B44:G44)</f>
        <v>4</v>
      </c>
      <c r="I44" s="171">
        <f t="shared" si="10"/>
        <v>0.15485743244054154</v>
      </c>
    </row>
    <row r="45" spans="1:9" ht="16.5" x14ac:dyDescent="0.25">
      <c r="A45" s="39" t="s">
        <v>32</v>
      </c>
      <c r="B45" s="40">
        <v>633</v>
      </c>
      <c r="C45" s="41">
        <v>215</v>
      </c>
      <c r="D45" s="42">
        <v>489</v>
      </c>
      <c r="E45" s="41">
        <v>376</v>
      </c>
      <c r="F45" s="42">
        <v>50</v>
      </c>
      <c r="G45" s="43">
        <v>16</v>
      </c>
      <c r="H45" s="44">
        <f t="shared" si="2"/>
        <v>1779</v>
      </c>
      <c r="I45" s="76">
        <f t="shared" si="10"/>
        <v>68.872843077930838</v>
      </c>
    </row>
    <row r="46" spans="1:9" ht="16.5" x14ac:dyDescent="0.25">
      <c r="A46" s="39" t="s">
        <v>33</v>
      </c>
      <c r="B46" s="40">
        <v>15</v>
      </c>
      <c r="C46" s="41">
        <v>7</v>
      </c>
      <c r="D46" s="42">
        <v>14</v>
      </c>
      <c r="E46" s="41">
        <v>21</v>
      </c>
      <c r="F46" s="42">
        <v>6</v>
      </c>
      <c r="G46" s="43">
        <v>5</v>
      </c>
      <c r="H46" s="44">
        <f t="shared" si="2"/>
        <v>68</v>
      </c>
      <c r="I46" s="76">
        <f t="shared" si="10"/>
        <v>2.6325763514892055</v>
      </c>
    </row>
    <row r="47" spans="1:9" ht="16.5" x14ac:dyDescent="0.25">
      <c r="A47" s="32" t="s">
        <v>47</v>
      </c>
      <c r="B47" s="33">
        <f t="shared" ref="B47:G47" si="11">SUM(B48:B51)</f>
        <v>193</v>
      </c>
      <c r="C47" s="34">
        <f t="shared" si="11"/>
        <v>146</v>
      </c>
      <c r="D47" s="31">
        <f t="shared" si="11"/>
        <v>228</v>
      </c>
      <c r="E47" s="34">
        <f t="shared" si="11"/>
        <v>150</v>
      </c>
      <c r="F47" s="31">
        <f t="shared" si="11"/>
        <v>25</v>
      </c>
      <c r="G47" s="35">
        <f t="shared" si="11"/>
        <v>23</v>
      </c>
      <c r="H47" s="36">
        <f t="shared" si="2"/>
        <v>765</v>
      </c>
      <c r="I47" s="75">
        <f t="shared" si="10"/>
        <v>29.616483954253567</v>
      </c>
    </row>
    <row r="48" spans="1:9" ht="16.5" x14ac:dyDescent="0.25">
      <c r="A48" s="159" t="s">
        <v>17</v>
      </c>
      <c r="B48" s="102">
        <v>193</v>
      </c>
      <c r="C48" s="103">
        <v>146</v>
      </c>
      <c r="D48" s="104">
        <v>228</v>
      </c>
      <c r="E48" s="103">
        <v>150</v>
      </c>
      <c r="F48" s="104">
        <v>25</v>
      </c>
      <c r="G48" s="105">
        <v>23</v>
      </c>
      <c r="H48" s="106">
        <f t="shared" si="2"/>
        <v>765</v>
      </c>
      <c r="I48" s="121">
        <f t="shared" si="10"/>
        <v>29.616483954253567</v>
      </c>
    </row>
    <row r="49" spans="1:9" ht="16.5" x14ac:dyDescent="0.25">
      <c r="A49" s="160" t="s">
        <v>18</v>
      </c>
      <c r="B49" s="108">
        <v>0</v>
      </c>
      <c r="C49" s="109">
        <v>0</v>
      </c>
      <c r="D49" s="110">
        <v>0</v>
      </c>
      <c r="E49" s="109">
        <v>0</v>
      </c>
      <c r="F49" s="110">
        <v>0</v>
      </c>
      <c r="G49" s="111">
        <v>0</v>
      </c>
      <c r="H49" s="112">
        <f t="shared" si="2"/>
        <v>0</v>
      </c>
      <c r="I49" s="143">
        <f t="shared" si="10"/>
        <v>0</v>
      </c>
    </row>
    <row r="50" spans="1:9" ht="16.5" x14ac:dyDescent="0.25">
      <c r="A50" s="159" t="s">
        <v>19</v>
      </c>
      <c r="B50" s="108">
        <v>0</v>
      </c>
      <c r="C50" s="109">
        <v>0</v>
      </c>
      <c r="D50" s="110">
        <v>0</v>
      </c>
      <c r="E50" s="109">
        <v>0</v>
      </c>
      <c r="F50" s="110">
        <v>0</v>
      </c>
      <c r="G50" s="111">
        <v>0</v>
      </c>
      <c r="H50" s="112">
        <f t="shared" si="2"/>
        <v>0</v>
      </c>
      <c r="I50" s="143">
        <f t="shared" si="10"/>
        <v>0</v>
      </c>
    </row>
    <row r="51" spans="1:9" ht="16.5" x14ac:dyDescent="0.25">
      <c r="A51" s="159" t="s">
        <v>58</v>
      </c>
      <c r="B51" s="144">
        <v>0</v>
      </c>
      <c r="C51" s="116">
        <v>0</v>
      </c>
      <c r="D51" s="116">
        <v>0</v>
      </c>
      <c r="E51" s="116">
        <v>0</v>
      </c>
      <c r="F51" s="116">
        <v>0</v>
      </c>
      <c r="G51" s="118">
        <v>0</v>
      </c>
      <c r="H51" s="119">
        <f t="shared" si="2"/>
        <v>0</v>
      </c>
      <c r="I51" s="123">
        <f t="shared" si="10"/>
        <v>0</v>
      </c>
    </row>
    <row r="52" spans="1:9" ht="16.5" x14ac:dyDescent="0.25">
      <c r="A52" s="45" t="s">
        <v>46</v>
      </c>
      <c r="B52" s="46">
        <f t="shared" ref="B52:G52" si="12">SUM(B53:B54)</f>
        <v>3947</v>
      </c>
      <c r="C52" s="46">
        <f t="shared" si="12"/>
        <v>771</v>
      </c>
      <c r="D52" s="46">
        <f t="shared" si="12"/>
        <v>1492</v>
      </c>
      <c r="E52" s="46">
        <f t="shared" si="12"/>
        <v>1209</v>
      </c>
      <c r="F52" s="46">
        <f t="shared" si="12"/>
        <v>356</v>
      </c>
      <c r="G52" s="46">
        <f t="shared" si="12"/>
        <v>241</v>
      </c>
      <c r="H52" s="50">
        <f>SUM(B52:G52)</f>
        <v>8016</v>
      </c>
      <c r="I52" s="61">
        <f t="shared" si="10"/>
        <v>310.33429461084523</v>
      </c>
    </row>
    <row r="53" spans="1:9" ht="16.5" x14ac:dyDescent="0.25">
      <c r="A53" s="159" t="s">
        <v>30</v>
      </c>
      <c r="B53" s="78">
        <v>3822</v>
      </c>
      <c r="C53" s="79">
        <v>733</v>
      </c>
      <c r="D53" s="80">
        <v>1391</v>
      </c>
      <c r="E53" s="79">
        <v>1125</v>
      </c>
      <c r="F53" s="80">
        <v>327</v>
      </c>
      <c r="G53" s="81">
        <v>212</v>
      </c>
      <c r="H53" s="82">
        <f>SUM(B53:G53)</f>
        <v>7610</v>
      </c>
      <c r="I53" s="83">
        <f t="shared" si="10"/>
        <v>294.61626521813025</v>
      </c>
    </row>
    <row r="54" spans="1:9" ht="16.5" x14ac:dyDescent="0.25">
      <c r="A54" s="159" t="s">
        <v>31</v>
      </c>
      <c r="B54" s="78">
        <v>125</v>
      </c>
      <c r="C54" s="79">
        <v>38</v>
      </c>
      <c r="D54" s="80">
        <v>101</v>
      </c>
      <c r="E54" s="79">
        <v>84</v>
      </c>
      <c r="F54" s="80">
        <v>29</v>
      </c>
      <c r="G54" s="81">
        <v>29</v>
      </c>
      <c r="H54" s="82">
        <f>SUM(B54:G54)</f>
        <v>406</v>
      </c>
      <c r="I54" s="83">
        <f t="shared" si="10"/>
        <v>15.718029392714964</v>
      </c>
    </row>
    <row r="55" spans="1:9" ht="16.5" x14ac:dyDescent="0.25">
      <c r="A55" s="39" t="s">
        <v>11</v>
      </c>
      <c r="B55" s="40">
        <v>3906</v>
      </c>
      <c r="C55" s="41">
        <v>1797</v>
      </c>
      <c r="D55" s="42">
        <v>4450</v>
      </c>
      <c r="E55" s="41">
        <v>3030</v>
      </c>
      <c r="F55" s="42">
        <v>559</v>
      </c>
      <c r="G55" s="43">
        <v>368</v>
      </c>
      <c r="H55" s="44">
        <f>SUM(B55:G55)</f>
        <v>14110</v>
      </c>
      <c r="I55" s="76">
        <f t="shared" si="10"/>
        <v>546.25959293401024</v>
      </c>
    </row>
    <row r="56" spans="1:9" ht="16.5" x14ac:dyDescent="0.25">
      <c r="A56" s="32" t="s">
        <v>45</v>
      </c>
      <c r="B56" s="33">
        <f t="shared" ref="B56:G56" si="13">SUM(B57:B60)</f>
        <v>901</v>
      </c>
      <c r="C56" s="33">
        <f t="shared" si="13"/>
        <v>328</v>
      </c>
      <c r="D56" s="33">
        <f t="shared" si="13"/>
        <v>657</v>
      </c>
      <c r="E56" s="33">
        <f t="shared" si="13"/>
        <v>407</v>
      </c>
      <c r="F56" s="33">
        <f t="shared" si="13"/>
        <v>102</v>
      </c>
      <c r="G56" s="33">
        <f t="shared" si="13"/>
        <v>104</v>
      </c>
      <c r="H56" s="44">
        <f>SUM(B56:G56)</f>
        <v>2499</v>
      </c>
      <c r="I56" s="75">
        <f t="shared" si="10"/>
        <v>96.747180917228306</v>
      </c>
    </row>
    <row r="57" spans="1:9" ht="16.5" x14ac:dyDescent="0.25">
      <c r="A57" s="159" t="s">
        <v>1</v>
      </c>
      <c r="B57" s="145">
        <v>668</v>
      </c>
      <c r="C57" s="146">
        <v>146</v>
      </c>
      <c r="D57" s="147">
        <v>305</v>
      </c>
      <c r="E57" s="148">
        <v>223</v>
      </c>
      <c r="F57" s="147">
        <v>78</v>
      </c>
      <c r="G57" s="149">
        <v>85</v>
      </c>
      <c r="H57" s="106">
        <f t="shared" si="2"/>
        <v>1505</v>
      </c>
      <c r="I57" s="121">
        <f t="shared" si="10"/>
        <v>58.265108955753746</v>
      </c>
    </row>
    <row r="58" spans="1:9" ht="16.5" x14ac:dyDescent="0.25">
      <c r="A58" s="159" t="s">
        <v>22</v>
      </c>
      <c r="B58" s="102">
        <v>129</v>
      </c>
      <c r="C58" s="103">
        <v>96</v>
      </c>
      <c r="D58" s="104">
        <v>184</v>
      </c>
      <c r="E58" s="103">
        <v>102</v>
      </c>
      <c r="F58" s="104">
        <v>9</v>
      </c>
      <c r="G58" s="105">
        <v>12</v>
      </c>
      <c r="H58" s="106">
        <f t="shared" si="2"/>
        <v>532</v>
      </c>
      <c r="I58" s="121">
        <f t="shared" si="10"/>
        <v>20.596038514592021</v>
      </c>
    </row>
    <row r="59" spans="1:9" ht="16.5" x14ac:dyDescent="0.25">
      <c r="A59" s="159" t="s">
        <v>23</v>
      </c>
      <c r="B59" s="102">
        <v>2</v>
      </c>
      <c r="C59" s="103">
        <v>2</v>
      </c>
      <c r="D59" s="104">
        <v>4</v>
      </c>
      <c r="E59" s="103">
        <v>3</v>
      </c>
      <c r="F59" s="104">
        <v>0</v>
      </c>
      <c r="G59" s="105">
        <v>0</v>
      </c>
      <c r="H59" s="106">
        <f>SUM(B59:G59)</f>
        <v>11</v>
      </c>
      <c r="I59" s="170">
        <f t="shared" si="10"/>
        <v>0.42585793921148918</v>
      </c>
    </row>
    <row r="60" spans="1:9" ht="16.5" x14ac:dyDescent="0.25">
      <c r="A60" s="159" t="s">
        <v>59</v>
      </c>
      <c r="B60" s="145">
        <v>102</v>
      </c>
      <c r="C60" s="148">
        <v>84</v>
      </c>
      <c r="D60" s="147">
        <v>164</v>
      </c>
      <c r="E60" s="148">
        <v>79</v>
      </c>
      <c r="F60" s="147">
        <v>15</v>
      </c>
      <c r="G60" s="149">
        <v>7</v>
      </c>
      <c r="H60" s="106">
        <f t="shared" si="2"/>
        <v>451</v>
      </c>
      <c r="I60" s="121">
        <f t="shared" si="10"/>
        <v>17.460175507671057</v>
      </c>
    </row>
    <row r="61" spans="1:9" ht="16.5" x14ac:dyDescent="0.25">
      <c r="A61" s="32" t="s">
        <v>42</v>
      </c>
      <c r="B61" s="33">
        <f t="shared" ref="B61:G61" si="14">SUM(B62:B65)</f>
        <v>9564</v>
      </c>
      <c r="C61" s="34">
        <f t="shared" si="14"/>
        <v>2846</v>
      </c>
      <c r="D61" s="31">
        <f t="shared" si="14"/>
        <v>5416</v>
      </c>
      <c r="E61" s="34">
        <f t="shared" si="14"/>
        <v>3123</v>
      </c>
      <c r="F61" s="31">
        <f t="shared" si="14"/>
        <v>576</v>
      </c>
      <c r="G61" s="35">
        <f t="shared" si="14"/>
        <v>562</v>
      </c>
      <c r="H61" s="36">
        <f t="shared" si="2"/>
        <v>22087</v>
      </c>
      <c r="I61" s="75">
        <f t="shared" si="10"/>
        <v>855.08402757856015</v>
      </c>
    </row>
    <row r="62" spans="1:9" ht="16.5" x14ac:dyDescent="0.25">
      <c r="A62" s="159" t="s">
        <v>1</v>
      </c>
      <c r="B62" s="145">
        <v>9088</v>
      </c>
      <c r="C62" s="148">
        <v>2143</v>
      </c>
      <c r="D62" s="147">
        <v>4095</v>
      </c>
      <c r="E62" s="148">
        <v>2547</v>
      </c>
      <c r="F62" s="147">
        <v>531</v>
      </c>
      <c r="G62" s="149">
        <v>543</v>
      </c>
      <c r="H62" s="106">
        <f t="shared" si="2"/>
        <v>18947</v>
      </c>
      <c r="I62" s="121">
        <f t="shared" si="10"/>
        <v>733.52094311273504</v>
      </c>
    </row>
    <row r="63" spans="1:9" ht="16.5" x14ac:dyDescent="0.25">
      <c r="A63" s="159" t="s">
        <v>22</v>
      </c>
      <c r="B63" s="102">
        <v>0</v>
      </c>
      <c r="C63" s="103">
        <v>0</v>
      </c>
      <c r="D63" s="104">
        <v>0</v>
      </c>
      <c r="E63" s="103">
        <v>0</v>
      </c>
      <c r="F63" s="104">
        <v>0</v>
      </c>
      <c r="G63" s="105">
        <v>0</v>
      </c>
      <c r="H63" s="106">
        <f t="shared" si="2"/>
        <v>0</v>
      </c>
      <c r="I63" s="121">
        <f t="shared" si="10"/>
        <v>0</v>
      </c>
    </row>
    <row r="64" spans="1:9" ht="16.5" x14ac:dyDescent="0.25">
      <c r="A64" s="159" t="s">
        <v>23</v>
      </c>
      <c r="B64" s="145">
        <v>438</v>
      </c>
      <c r="C64" s="148">
        <v>667</v>
      </c>
      <c r="D64" s="147">
        <v>1253</v>
      </c>
      <c r="E64" s="148">
        <v>548</v>
      </c>
      <c r="F64" s="147">
        <v>43</v>
      </c>
      <c r="G64" s="149">
        <v>19</v>
      </c>
      <c r="H64" s="131">
        <f>SUM(B64:G64)</f>
        <v>2968</v>
      </c>
      <c r="I64" s="150">
        <f t="shared" si="10"/>
        <v>114.90421487088182</v>
      </c>
    </row>
    <row r="65" spans="1:9" ht="16.5" x14ac:dyDescent="0.25">
      <c r="A65" s="159" t="s">
        <v>59</v>
      </c>
      <c r="B65" s="145">
        <v>38</v>
      </c>
      <c r="C65" s="148">
        <v>36</v>
      </c>
      <c r="D65" s="147">
        <v>68</v>
      </c>
      <c r="E65" s="148">
        <v>28</v>
      </c>
      <c r="F65" s="147">
        <v>2</v>
      </c>
      <c r="G65" s="149">
        <v>0</v>
      </c>
      <c r="H65" s="106">
        <f t="shared" si="2"/>
        <v>172</v>
      </c>
      <c r="I65" s="121">
        <f t="shared" si="10"/>
        <v>6.6588695949432859</v>
      </c>
    </row>
    <row r="66" spans="1:9" ht="16.5" x14ac:dyDescent="0.25">
      <c r="A66" s="32" t="s">
        <v>41</v>
      </c>
      <c r="B66" s="33">
        <f t="shared" ref="B66:G66" si="15">SUM(B67:B70)</f>
        <v>13</v>
      </c>
      <c r="C66" s="34">
        <f t="shared" si="15"/>
        <v>7</v>
      </c>
      <c r="D66" s="31">
        <f t="shared" si="15"/>
        <v>17</v>
      </c>
      <c r="E66" s="34">
        <f t="shared" si="15"/>
        <v>12</v>
      </c>
      <c r="F66" s="31">
        <f t="shared" si="15"/>
        <v>3</v>
      </c>
      <c r="G66" s="35">
        <f t="shared" si="15"/>
        <v>6</v>
      </c>
      <c r="H66" s="36">
        <f t="shared" si="2"/>
        <v>58</v>
      </c>
      <c r="I66" s="75">
        <f t="shared" si="10"/>
        <v>2.2454327703878523</v>
      </c>
    </row>
    <row r="67" spans="1:9" ht="16.5" x14ac:dyDescent="0.25">
      <c r="A67" s="159" t="s">
        <v>17</v>
      </c>
      <c r="B67" s="102">
        <v>11</v>
      </c>
      <c r="C67" s="103">
        <v>0</v>
      </c>
      <c r="D67" s="104">
        <v>4</v>
      </c>
      <c r="E67" s="103">
        <v>8</v>
      </c>
      <c r="F67" s="104">
        <v>3</v>
      </c>
      <c r="G67" s="105">
        <v>6</v>
      </c>
      <c r="H67" s="106">
        <f t="shared" si="2"/>
        <v>32</v>
      </c>
      <c r="I67" s="121">
        <f t="shared" si="10"/>
        <v>1.2388594595243323</v>
      </c>
    </row>
    <row r="68" spans="1:9" ht="16.5" x14ac:dyDescent="0.25">
      <c r="A68" s="160" t="s">
        <v>18</v>
      </c>
      <c r="B68" s="145">
        <v>1</v>
      </c>
      <c r="C68" s="148">
        <v>3</v>
      </c>
      <c r="D68" s="147">
        <v>2</v>
      </c>
      <c r="E68" s="148">
        <v>3</v>
      </c>
      <c r="F68" s="147">
        <v>0</v>
      </c>
      <c r="G68" s="149">
        <v>0</v>
      </c>
      <c r="H68" s="106">
        <f t="shared" si="2"/>
        <v>9</v>
      </c>
      <c r="I68" s="170">
        <f t="shared" ref="I68:I70" si="16">H68/B$71 * 100000</f>
        <v>0.34842922299121842</v>
      </c>
    </row>
    <row r="69" spans="1:9" ht="16.5" x14ac:dyDescent="0.25">
      <c r="A69" s="159" t="s">
        <v>19</v>
      </c>
      <c r="B69" s="102">
        <v>1</v>
      </c>
      <c r="C69" s="103">
        <v>3</v>
      </c>
      <c r="D69" s="104">
        <v>10</v>
      </c>
      <c r="E69" s="103">
        <v>1</v>
      </c>
      <c r="F69" s="104">
        <v>0</v>
      </c>
      <c r="G69" s="105">
        <v>0</v>
      </c>
      <c r="H69" s="106">
        <f t="shared" ref="H69:H70" si="17">SUM(B69:G69)</f>
        <v>15</v>
      </c>
      <c r="I69" s="170">
        <f t="shared" si="16"/>
        <v>0.58071537165203069</v>
      </c>
    </row>
    <row r="70" spans="1:9" ht="16.5" x14ac:dyDescent="0.25">
      <c r="A70" s="159" t="s">
        <v>58</v>
      </c>
      <c r="B70" s="102">
        <v>0</v>
      </c>
      <c r="C70" s="103">
        <v>1</v>
      </c>
      <c r="D70" s="104">
        <v>1</v>
      </c>
      <c r="E70" s="103">
        <v>0</v>
      </c>
      <c r="F70" s="147">
        <v>0</v>
      </c>
      <c r="G70" s="149">
        <v>0</v>
      </c>
      <c r="H70" s="106">
        <f t="shared" si="17"/>
        <v>2</v>
      </c>
      <c r="I70" s="170">
        <f t="shared" si="16"/>
        <v>7.7428716220270768E-2</v>
      </c>
    </row>
    <row r="71" spans="1:9" ht="14.25" x14ac:dyDescent="0.2">
      <c r="A71" s="69" t="s">
        <v>62</v>
      </c>
      <c r="B71" s="207">
        <v>2583021</v>
      </c>
      <c r="C71" s="207"/>
      <c r="D71" s="207"/>
      <c r="E71" s="207"/>
      <c r="F71" s="207"/>
      <c r="G71" s="207"/>
      <c r="H71" s="207"/>
      <c r="I71" s="207"/>
    </row>
    <row r="72" spans="1:9" ht="14.25" x14ac:dyDescent="0.2">
      <c r="A72" s="69" t="s">
        <v>13</v>
      </c>
      <c r="B72" s="70"/>
      <c r="C72" s="71"/>
      <c r="D72" s="72"/>
      <c r="E72" s="70"/>
      <c r="F72" s="71"/>
      <c r="G72" s="73"/>
      <c r="H72" s="69"/>
      <c r="I72" s="69"/>
    </row>
    <row r="73" spans="1:9" x14ac:dyDescent="0.2">
      <c r="A73" s="208" t="s">
        <v>14</v>
      </c>
      <c r="B73" s="209"/>
      <c r="C73" s="209"/>
      <c r="D73" s="209"/>
      <c r="E73" s="209"/>
      <c r="F73" s="209"/>
      <c r="G73" s="209"/>
      <c r="H73" s="209"/>
      <c r="I73" s="209"/>
    </row>
    <row r="74" spans="1:9" ht="14.25" x14ac:dyDescent="0.2">
      <c r="A74" s="74" t="s">
        <v>81</v>
      </c>
      <c r="B74" s="70"/>
      <c r="C74" s="71"/>
      <c r="D74" s="72"/>
      <c r="E74" s="70"/>
      <c r="F74" s="71"/>
      <c r="G74" s="73"/>
      <c r="H74" s="69"/>
      <c r="I74" s="69"/>
    </row>
    <row r="75" spans="1:9" ht="15" x14ac:dyDescent="0.2">
      <c r="A75" s="1"/>
      <c r="B75" s="11"/>
      <c r="C75" s="2"/>
      <c r="D75" s="22"/>
      <c r="E75" s="11"/>
      <c r="F75" s="2"/>
      <c r="G75" s="1"/>
      <c r="H75" s="1"/>
      <c r="I75" s="1"/>
    </row>
  </sheetData>
  <mergeCells count="4">
    <mergeCell ref="A2:A3"/>
    <mergeCell ref="B2:G2"/>
    <mergeCell ref="A73:I73"/>
    <mergeCell ref="B71:I7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5"/>
  <sheetViews>
    <sheetView topLeftCell="A43" zoomScale="70" zoomScaleNormal="70" workbookViewId="0">
      <selection activeCell="A74" sqref="A74"/>
    </sheetView>
  </sheetViews>
  <sheetFormatPr defaultRowHeight="12.75" x14ac:dyDescent="0.2"/>
  <cols>
    <col min="1" max="1" width="54.6640625" customWidth="1"/>
    <col min="2" max="5" width="10.6640625" bestFit="1" customWidth="1"/>
    <col min="6" max="6" width="9.1640625" customWidth="1"/>
    <col min="7" max="7" width="10.6640625" bestFit="1" customWidth="1"/>
    <col min="8" max="8" width="12.33203125" bestFit="1" customWidth="1"/>
    <col min="9" max="9" width="26.6640625" customWidth="1"/>
  </cols>
  <sheetData>
    <row r="1" spans="1:9" ht="20.25" x14ac:dyDescent="0.3">
      <c r="A1" s="97" t="s">
        <v>71</v>
      </c>
      <c r="B1" s="98"/>
      <c r="C1" s="99"/>
      <c r="D1" s="100"/>
      <c r="E1" s="98"/>
      <c r="F1" s="99"/>
      <c r="G1" s="99"/>
      <c r="H1" s="99"/>
      <c r="I1" s="101"/>
    </row>
    <row r="2" spans="1:9" ht="16.5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</row>
    <row r="3" spans="1:9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</row>
    <row r="4" spans="1:9" ht="16.5" x14ac:dyDescent="0.25">
      <c r="A4" s="32" t="s">
        <v>48</v>
      </c>
      <c r="B4" s="33">
        <f t="shared" ref="B4:G4" si="0">SUM(B5:B8)</f>
        <v>2276</v>
      </c>
      <c r="C4" s="34">
        <f t="shared" si="0"/>
        <v>1718</v>
      </c>
      <c r="D4" s="31">
        <f t="shared" si="0"/>
        <v>4091</v>
      </c>
      <c r="E4" s="34">
        <f t="shared" si="0"/>
        <v>2640</v>
      </c>
      <c r="F4" s="31">
        <f t="shared" si="0"/>
        <v>604</v>
      </c>
      <c r="G4" s="35">
        <f t="shared" si="0"/>
        <v>425</v>
      </c>
      <c r="H4" s="36">
        <f>SUM(B4:G4)</f>
        <v>11754</v>
      </c>
      <c r="I4" s="62">
        <f t="shared" ref="I4:I35" si="1">H4/B$71 * 100000</f>
        <v>463.69113767650271</v>
      </c>
    </row>
    <row r="5" spans="1:9" ht="16.5" x14ac:dyDescent="0.25">
      <c r="A5" s="159" t="s">
        <v>17</v>
      </c>
      <c r="B5" s="102">
        <v>2179</v>
      </c>
      <c r="C5" s="103">
        <v>1573</v>
      </c>
      <c r="D5" s="104">
        <v>3772</v>
      </c>
      <c r="E5" s="103">
        <v>2530</v>
      </c>
      <c r="F5" s="104">
        <v>595</v>
      </c>
      <c r="G5" s="105">
        <v>422</v>
      </c>
      <c r="H5" s="106">
        <f t="shared" ref="H5:H68" si="2">SUM(B5:G5)</f>
        <v>11071</v>
      </c>
      <c r="I5" s="107">
        <f t="shared" si="1"/>
        <v>436.7470295402893</v>
      </c>
    </row>
    <row r="6" spans="1:9" ht="16.5" x14ac:dyDescent="0.25">
      <c r="A6" s="159" t="s">
        <v>18</v>
      </c>
      <c r="B6" s="102">
        <v>53</v>
      </c>
      <c r="C6" s="103">
        <v>39</v>
      </c>
      <c r="D6" s="104">
        <v>82</v>
      </c>
      <c r="E6" s="103">
        <v>33</v>
      </c>
      <c r="F6" s="104">
        <v>2</v>
      </c>
      <c r="G6" s="105">
        <v>2</v>
      </c>
      <c r="H6" s="106">
        <f t="shared" si="2"/>
        <v>211</v>
      </c>
      <c r="I6" s="107">
        <f t="shared" si="1"/>
        <v>8.3238752807335423</v>
      </c>
    </row>
    <row r="7" spans="1:9" ht="16.5" x14ac:dyDescent="0.25">
      <c r="A7" s="159" t="s">
        <v>19</v>
      </c>
      <c r="B7" s="102">
        <v>26</v>
      </c>
      <c r="C7" s="103">
        <v>98</v>
      </c>
      <c r="D7" s="104">
        <v>213</v>
      </c>
      <c r="E7" s="103">
        <v>72</v>
      </c>
      <c r="F7" s="104">
        <v>6</v>
      </c>
      <c r="G7" s="105">
        <v>1</v>
      </c>
      <c r="H7" s="106">
        <f t="shared" si="2"/>
        <v>416</v>
      </c>
      <c r="I7" s="107">
        <f t="shared" si="1"/>
        <v>16.411052686185563</v>
      </c>
    </row>
    <row r="8" spans="1:9" ht="16.5" x14ac:dyDescent="0.25">
      <c r="A8" s="159" t="s">
        <v>58</v>
      </c>
      <c r="B8" s="108">
        <v>18</v>
      </c>
      <c r="C8" s="109">
        <v>8</v>
      </c>
      <c r="D8" s="110">
        <v>24</v>
      </c>
      <c r="E8" s="109">
        <v>5</v>
      </c>
      <c r="F8" s="110">
        <v>1</v>
      </c>
      <c r="G8" s="111">
        <v>0</v>
      </c>
      <c r="H8" s="106">
        <f t="shared" si="2"/>
        <v>56</v>
      </c>
      <c r="I8" s="107">
        <f t="shared" si="1"/>
        <v>2.2091801692942101</v>
      </c>
    </row>
    <row r="9" spans="1:9" ht="16.5" x14ac:dyDescent="0.25">
      <c r="A9" s="32" t="s">
        <v>60</v>
      </c>
      <c r="B9" s="33">
        <f t="shared" ref="B9:G9" si="3">SUM(B10:B13)</f>
        <v>55</v>
      </c>
      <c r="C9" s="34">
        <f t="shared" si="3"/>
        <v>7</v>
      </c>
      <c r="D9" s="31">
        <f t="shared" si="3"/>
        <v>6</v>
      </c>
      <c r="E9" s="34">
        <f t="shared" si="3"/>
        <v>5</v>
      </c>
      <c r="F9" s="31">
        <f t="shared" si="3"/>
        <v>2</v>
      </c>
      <c r="G9" s="35">
        <f t="shared" si="3"/>
        <v>2</v>
      </c>
      <c r="H9" s="36">
        <f t="shared" si="2"/>
        <v>77</v>
      </c>
      <c r="I9" s="62">
        <f t="shared" si="1"/>
        <v>3.0376227327795391</v>
      </c>
    </row>
    <row r="10" spans="1:9" ht="16.5" x14ac:dyDescent="0.25">
      <c r="A10" s="159" t="s">
        <v>17</v>
      </c>
      <c r="B10" s="102">
        <v>55</v>
      </c>
      <c r="C10" s="103">
        <v>7</v>
      </c>
      <c r="D10" s="104">
        <v>5</v>
      </c>
      <c r="E10" s="103">
        <v>4</v>
      </c>
      <c r="F10" s="104">
        <v>2</v>
      </c>
      <c r="G10" s="105">
        <v>2</v>
      </c>
      <c r="H10" s="106">
        <f t="shared" si="2"/>
        <v>75</v>
      </c>
      <c r="I10" s="107">
        <f t="shared" si="1"/>
        <v>2.958723441019032</v>
      </c>
    </row>
    <row r="11" spans="1:9" ht="16.5" x14ac:dyDescent="0.25">
      <c r="A11" s="159" t="s">
        <v>18</v>
      </c>
      <c r="B11" s="102">
        <v>0</v>
      </c>
      <c r="C11" s="103">
        <v>0</v>
      </c>
      <c r="D11" s="104">
        <v>1</v>
      </c>
      <c r="E11" s="103">
        <v>1</v>
      </c>
      <c r="F11" s="104">
        <v>0</v>
      </c>
      <c r="G11" s="105">
        <v>0</v>
      </c>
      <c r="H11" s="106">
        <f>SUM(B11:G11)</f>
        <v>2</v>
      </c>
      <c r="I11" s="169">
        <f t="shared" si="1"/>
        <v>7.8899291760507514E-2</v>
      </c>
    </row>
    <row r="12" spans="1:9" ht="16.5" x14ac:dyDescent="0.25">
      <c r="A12" s="159" t="s">
        <v>19</v>
      </c>
      <c r="B12" s="102">
        <v>0</v>
      </c>
      <c r="C12" s="103">
        <v>0</v>
      </c>
      <c r="D12" s="104">
        <v>0</v>
      </c>
      <c r="E12" s="103">
        <v>0</v>
      </c>
      <c r="F12" s="104">
        <v>0</v>
      </c>
      <c r="G12" s="105">
        <v>0</v>
      </c>
      <c r="H12" s="106">
        <f>SUM(B12:G12)</f>
        <v>0</v>
      </c>
      <c r="I12" s="107">
        <f t="shared" si="1"/>
        <v>0</v>
      </c>
    </row>
    <row r="13" spans="1:9" ht="16.5" x14ac:dyDescent="0.25">
      <c r="A13" s="159" t="s">
        <v>58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07">
        <f t="shared" si="1"/>
        <v>0</v>
      </c>
    </row>
    <row r="14" spans="1:9" ht="16.5" x14ac:dyDescent="0.25">
      <c r="A14" s="32" t="s">
        <v>49</v>
      </c>
      <c r="B14" s="33">
        <f t="shared" ref="B14:G14" si="4">SUM(B15:B18)</f>
        <v>20411</v>
      </c>
      <c r="C14" s="34">
        <f t="shared" si="4"/>
        <v>2794</v>
      </c>
      <c r="D14" s="31">
        <f t="shared" si="4"/>
        <v>7368</v>
      </c>
      <c r="E14" s="34">
        <f t="shared" si="4"/>
        <v>9992</v>
      </c>
      <c r="F14" s="31">
        <f t="shared" si="4"/>
        <v>4364</v>
      </c>
      <c r="G14" s="35">
        <f t="shared" si="4"/>
        <v>8246</v>
      </c>
      <c r="H14" s="36">
        <f t="shared" si="2"/>
        <v>53175</v>
      </c>
      <c r="I14" s="75">
        <f t="shared" si="1"/>
        <v>2097.7349196824935</v>
      </c>
    </row>
    <row r="15" spans="1:9" ht="16.5" x14ac:dyDescent="0.25">
      <c r="A15" s="159" t="s">
        <v>17</v>
      </c>
      <c r="B15" s="102">
        <v>20391</v>
      </c>
      <c r="C15" s="103">
        <v>2789</v>
      </c>
      <c r="D15" s="104">
        <v>7357</v>
      </c>
      <c r="E15" s="103">
        <v>9985</v>
      </c>
      <c r="F15" s="104">
        <v>4361</v>
      </c>
      <c r="G15" s="105">
        <v>8246</v>
      </c>
      <c r="H15" s="106">
        <f t="shared" si="2"/>
        <v>53129</v>
      </c>
      <c r="I15" s="121">
        <f t="shared" si="1"/>
        <v>2095.9202359720016</v>
      </c>
    </row>
    <row r="16" spans="1:9" ht="16.5" x14ac:dyDescent="0.25">
      <c r="A16" s="159" t="s">
        <v>18</v>
      </c>
      <c r="B16" s="102">
        <v>1</v>
      </c>
      <c r="C16" s="103">
        <v>3</v>
      </c>
      <c r="D16" s="104">
        <v>3</v>
      </c>
      <c r="E16" s="103">
        <v>3</v>
      </c>
      <c r="F16" s="104">
        <v>0</v>
      </c>
      <c r="G16" s="105">
        <v>0</v>
      </c>
      <c r="H16" s="106">
        <f t="shared" si="2"/>
        <v>10</v>
      </c>
      <c r="I16" s="170">
        <f t="shared" si="1"/>
        <v>0.39449645880253759</v>
      </c>
    </row>
    <row r="17" spans="1:9" ht="16.5" x14ac:dyDescent="0.25">
      <c r="A17" s="159" t="s">
        <v>19</v>
      </c>
      <c r="B17" s="102">
        <v>0</v>
      </c>
      <c r="C17" s="103">
        <v>0</v>
      </c>
      <c r="D17" s="104">
        <v>0</v>
      </c>
      <c r="E17" s="103">
        <v>1</v>
      </c>
      <c r="F17" s="104">
        <v>0</v>
      </c>
      <c r="G17" s="105">
        <v>0</v>
      </c>
      <c r="H17" s="106">
        <f>SUM(B17:G17)</f>
        <v>1</v>
      </c>
      <c r="I17" s="170">
        <f t="shared" si="1"/>
        <v>3.9449645880253757E-2</v>
      </c>
    </row>
    <row r="18" spans="1:9" ht="16.5" x14ac:dyDescent="0.25">
      <c r="A18" s="159" t="s">
        <v>58</v>
      </c>
      <c r="B18" s="115">
        <v>19</v>
      </c>
      <c r="C18" s="116">
        <v>2</v>
      </c>
      <c r="D18" s="117">
        <v>8</v>
      </c>
      <c r="E18" s="116">
        <v>3</v>
      </c>
      <c r="F18" s="117">
        <v>3</v>
      </c>
      <c r="G18" s="118">
        <v>0</v>
      </c>
      <c r="H18" s="119">
        <f>SUM(B18:G18)</f>
        <v>35</v>
      </c>
      <c r="I18" s="123">
        <f t="shared" si="1"/>
        <v>1.3807376058088816</v>
      </c>
    </row>
    <row r="19" spans="1:9" ht="16.5" x14ac:dyDescent="0.25">
      <c r="A19" s="162" t="s">
        <v>50</v>
      </c>
      <c r="B19" s="33">
        <f t="shared" ref="B19:G19" si="5">SUM(B20:B23)</f>
        <v>83</v>
      </c>
      <c r="C19" s="34">
        <f t="shared" si="5"/>
        <v>32</v>
      </c>
      <c r="D19" s="31">
        <f t="shared" si="5"/>
        <v>103</v>
      </c>
      <c r="E19" s="34">
        <f t="shared" si="5"/>
        <v>66</v>
      </c>
      <c r="F19" s="31">
        <f t="shared" si="5"/>
        <v>14</v>
      </c>
      <c r="G19" s="35">
        <f t="shared" si="5"/>
        <v>9</v>
      </c>
      <c r="H19" s="124">
        <f t="shared" si="2"/>
        <v>307</v>
      </c>
      <c r="I19" s="125">
        <f t="shared" si="1"/>
        <v>12.111041285237903</v>
      </c>
    </row>
    <row r="20" spans="1:9" ht="16.5" x14ac:dyDescent="0.25">
      <c r="A20" s="159" t="s">
        <v>17</v>
      </c>
      <c r="B20" s="102">
        <v>64</v>
      </c>
      <c r="C20" s="103">
        <v>28</v>
      </c>
      <c r="D20" s="104">
        <v>88</v>
      </c>
      <c r="E20" s="103">
        <v>61</v>
      </c>
      <c r="F20" s="104">
        <v>11</v>
      </c>
      <c r="G20" s="105">
        <v>8</v>
      </c>
      <c r="H20" s="106">
        <f t="shared" si="2"/>
        <v>260</v>
      </c>
      <c r="I20" s="121">
        <f t="shared" si="1"/>
        <v>10.256907928865978</v>
      </c>
    </row>
    <row r="21" spans="1:9" ht="16.5" x14ac:dyDescent="0.25">
      <c r="A21" s="159" t="s">
        <v>18</v>
      </c>
      <c r="B21" s="102">
        <v>0</v>
      </c>
      <c r="C21" s="103">
        <v>0</v>
      </c>
      <c r="D21" s="104">
        <v>0</v>
      </c>
      <c r="E21" s="103">
        <v>0</v>
      </c>
      <c r="F21" s="104">
        <v>0</v>
      </c>
      <c r="G21" s="105">
        <v>0</v>
      </c>
      <c r="H21" s="106">
        <f t="shared" si="2"/>
        <v>0</v>
      </c>
      <c r="I21" s="121">
        <f t="shared" si="1"/>
        <v>0</v>
      </c>
    </row>
    <row r="22" spans="1:9" ht="16.5" x14ac:dyDescent="0.25">
      <c r="A22" s="159" t="s">
        <v>19</v>
      </c>
      <c r="B22" s="102">
        <v>0</v>
      </c>
      <c r="C22" s="103">
        <v>0</v>
      </c>
      <c r="D22" s="104">
        <v>2</v>
      </c>
      <c r="E22" s="103">
        <v>0</v>
      </c>
      <c r="F22" s="104">
        <v>0</v>
      </c>
      <c r="G22" s="105">
        <v>0</v>
      </c>
      <c r="H22" s="106">
        <f t="shared" si="2"/>
        <v>2</v>
      </c>
      <c r="I22" s="170">
        <f t="shared" si="1"/>
        <v>7.8899291760507514E-2</v>
      </c>
    </row>
    <row r="23" spans="1:9" ht="16.5" x14ac:dyDescent="0.25">
      <c r="A23" s="159" t="s">
        <v>58</v>
      </c>
      <c r="B23" s="102">
        <v>19</v>
      </c>
      <c r="C23" s="103">
        <v>4</v>
      </c>
      <c r="D23" s="104">
        <v>13</v>
      </c>
      <c r="E23" s="103">
        <v>5</v>
      </c>
      <c r="F23" s="104">
        <v>3</v>
      </c>
      <c r="G23" s="105">
        <v>1</v>
      </c>
      <c r="H23" s="119">
        <f t="shared" si="2"/>
        <v>45</v>
      </c>
      <c r="I23" s="123">
        <f t="shared" si="1"/>
        <v>1.7752340646114191</v>
      </c>
    </row>
    <row r="24" spans="1:9" ht="16.5" x14ac:dyDescent="0.25">
      <c r="A24" s="162" t="s">
        <v>51</v>
      </c>
      <c r="B24" s="33">
        <f t="shared" ref="B24:G24" si="6">SUM(B25:B28)</f>
        <v>695</v>
      </c>
      <c r="C24" s="34">
        <f t="shared" si="6"/>
        <v>232</v>
      </c>
      <c r="D24" s="31">
        <f t="shared" si="6"/>
        <v>647</v>
      </c>
      <c r="E24" s="34">
        <f t="shared" si="6"/>
        <v>461</v>
      </c>
      <c r="F24" s="31">
        <f t="shared" si="6"/>
        <v>118</v>
      </c>
      <c r="G24" s="35">
        <f t="shared" si="6"/>
        <v>58</v>
      </c>
      <c r="H24" s="124">
        <f t="shared" si="2"/>
        <v>2211</v>
      </c>
      <c r="I24" s="125">
        <f t="shared" si="1"/>
        <v>87.223167041241055</v>
      </c>
    </row>
    <row r="25" spans="1:9" ht="16.5" x14ac:dyDescent="0.25">
      <c r="A25" s="159" t="s">
        <v>17</v>
      </c>
      <c r="B25" s="102">
        <v>680</v>
      </c>
      <c r="C25" s="103">
        <v>230</v>
      </c>
      <c r="D25" s="104">
        <v>637</v>
      </c>
      <c r="E25" s="103">
        <v>459</v>
      </c>
      <c r="F25" s="104">
        <v>118</v>
      </c>
      <c r="G25" s="105">
        <v>58</v>
      </c>
      <c r="H25" s="106">
        <f>SUM(B25:G25)</f>
        <v>2182</v>
      </c>
      <c r="I25" s="121">
        <f t="shared" si="1"/>
        <v>86.079127310713687</v>
      </c>
    </row>
    <row r="26" spans="1:9" ht="16.5" x14ac:dyDescent="0.25">
      <c r="A26" s="159" t="s">
        <v>18</v>
      </c>
      <c r="B26" s="102">
        <v>0</v>
      </c>
      <c r="C26" s="103">
        <v>0</v>
      </c>
      <c r="D26" s="104">
        <v>0</v>
      </c>
      <c r="E26" s="103">
        <v>0</v>
      </c>
      <c r="F26" s="104">
        <v>0</v>
      </c>
      <c r="G26" s="105">
        <v>0</v>
      </c>
      <c r="H26" s="106">
        <f>SUM(B26:G26)</f>
        <v>0</v>
      </c>
      <c r="I26" s="121">
        <f t="shared" si="1"/>
        <v>0</v>
      </c>
    </row>
    <row r="27" spans="1:9" ht="16.5" x14ac:dyDescent="0.25">
      <c r="A27" s="159" t="s">
        <v>19</v>
      </c>
      <c r="B27" s="102">
        <v>1</v>
      </c>
      <c r="C27" s="103">
        <v>0</v>
      </c>
      <c r="D27" s="104">
        <v>1</v>
      </c>
      <c r="E27" s="103">
        <v>0</v>
      </c>
      <c r="F27" s="104">
        <v>0</v>
      </c>
      <c r="G27" s="105">
        <v>0</v>
      </c>
      <c r="H27" s="106">
        <f>SUM(B27:G27)</f>
        <v>2</v>
      </c>
      <c r="I27" s="170">
        <f t="shared" si="1"/>
        <v>7.8899291760507514E-2</v>
      </c>
    </row>
    <row r="28" spans="1:9" ht="16.5" x14ac:dyDescent="0.25">
      <c r="A28" s="159" t="s">
        <v>58</v>
      </c>
      <c r="B28" s="127">
        <v>14</v>
      </c>
      <c r="C28" s="128">
        <v>2</v>
      </c>
      <c r="D28" s="129">
        <v>9</v>
      </c>
      <c r="E28" s="128">
        <v>2</v>
      </c>
      <c r="F28" s="129">
        <v>0</v>
      </c>
      <c r="G28" s="130">
        <v>0</v>
      </c>
      <c r="H28" s="131">
        <f t="shared" si="2"/>
        <v>27</v>
      </c>
      <c r="I28" s="150">
        <f t="shared" si="1"/>
        <v>1.0651404387668513</v>
      </c>
    </row>
    <row r="29" spans="1:9" ht="16.5" x14ac:dyDescent="0.25">
      <c r="A29" s="32" t="s">
        <v>52</v>
      </c>
      <c r="B29" s="33">
        <f t="shared" ref="B29:G29" si="7">SUM(B30:B33)</f>
        <v>28</v>
      </c>
      <c r="C29" s="34">
        <f t="shared" si="7"/>
        <v>107</v>
      </c>
      <c r="D29" s="31">
        <f t="shared" si="7"/>
        <v>146</v>
      </c>
      <c r="E29" s="34">
        <f t="shared" si="7"/>
        <v>45</v>
      </c>
      <c r="F29" s="31">
        <f t="shared" si="7"/>
        <v>3</v>
      </c>
      <c r="G29" s="35">
        <f t="shared" si="7"/>
        <v>4</v>
      </c>
      <c r="H29" s="36">
        <f t="shared" si="2"/>
        <v>333</v>
      </c>
      <c r="I29" s="75">
        <f t="shared" si="1"/>
        <v>13.136732078124501</v>
      </c>
    </row>
    <row r="30" spans="1:9" ht="16.5" x14ac:dyDescent="0.25">
      <c r="A30" s="159" t="s">
        <v>17</v>
      </c>
      <c r="B30" s="102">
        <v>14</v>
      </c>
      <c r="C30" s="103">
        <v>35</v>
      </c>
      <c r="D30" s="104">
        <v>52</v>
      </c>
      <c r="E30" s="103">
        <v>15</v>
      </c>
      <c r="F30" s="104">
        <v>1</v>
      </c>
      <c r="G30" s="105">
        <v>3</v>
      </c>
      <c r="H30" s="106">
        <f t="shared" si="2"/>
        <v>120</v>
      </c>
      <c r="I30" s="121">
        <f t="shared" si="1"/>
        <v>4.7339575056304506</v>
      </c>
    </row>
    <row r="31" spans="1:9" ht="16.5" x14ac:dyDescent="0.25">
      <c r="A31" s="159" t="s">
        <v>18</v>
      </c>
      <c r="B31" s="102">
        <v>0</v>
      </c>
      <c r="C31" s="103">
        <v>0</v>
      </c>
      <c r="D31" s="104">
        <v>1</v>
      </c>
      <c r="E31" s="103">
        <v>0</v>
      </c>
      <c r="F31" s="104">
        <v>0</v>
      </c>
      <c r="G31" s="105">
        <v>0</v>
      </c>
      <c r="H31" s="106">
        <f t="shared" si="2"/>
        <v>1</v>
      </c>
      <c r="I31" s="170">
        <f t="shared" si="1"/>
        <v>3.9449645880253757E-2</v>
      </c>
    </row>
    <row r="32" spans="1:9" ht="16.5" x14ac:dyDescent="0.25">
      <c r="A32" s="159" t="s">
        <v>19</v>
      </c>
      <c r="B32" s="102">
        <v>10</v>
      </c>
      <c r="C32" s="103">
        <v>52</v>
      </c>
      <c r="D32" s="104">
        <v>69</v>
      </c>
      <c r="E32" s="103">
        <v>24</v>
      </c>
      <c r="F32" s="104">
        <v>2</v>
      </c>
      <c r="G32" s="105">
        <v>1</v>
      </c>
      <c r="H32" s="106">
        <f t="shared" si="2"/>
        <v>158</v>
      </c>
      <c r="I32" s="121">
        <f t="shared" si="1"/>
        <v>6.2330440490800934</v>
      </c>
    </row>
    <row r="33" spans="1:9" ht="16.5" x14ac:dyDescent="0.25">
      <c r="A33" s="160" t="s">
        <v>58</v>
      </c>
      <c r="B33" s="102">
        <v>4</v>
      </c>
      <c r="C33" s="103">
        <v>20</v>
      </c>
      <c r="D33" s="104">
        <v>24</v>
      </c>
      <c r="E33" s="103">
        <v>6</v>
      </c>
      <c r="F33" s="104">
        <v>0</v>
      </c>
      <c r="G33" s="105">
        <v>0</v>
      </c>
      <c r="H33" s="106">
        <f t="shared" si="2"/>
        <v>54</v>
      </c>
      <c r="I33" s="121">
        <f t="shared" si="1"/>
        <v>2.1302808775337025</v>
      </c>
    </row>
    <row r="34" spans="1:9" ht="16.5" x14ac:dyDescent="0.25">
      <c r="A34" s="39" t="s">
        <v>12</v>
      </c>
      <c r="B34" s="40">
        <v>11</v>
      </c>
      <c r="C34" s="41">
        <v>24</v>
      </c>
      <c r="D34" s="42">
        <v>93</v>
      </c>
      <c r="E34" s="41">
        <v>97</v>
      </c>
      <c r="F34" s="42">
        <v>14</v>
      </c>
      <c r="G34" s="43">
        <v>5</v>
      </c>
      <c r="H34" s="44">
        <f t="shared" si="2"/>
        <v>244</v>
      </c>
      <c r="I34" s="76">
        <f t="shared" si="1"/>
        <v>9.6257135947819155</v>
      </c>
    </row>
    <row r="35" spans="1:9" ht="16.5" x14ac:dyDescent="0.25">
      <c r="A35" s="32" t="s">
        <v>53</v>
      </c>
      <c r="B35" s="33">
        <f>SUM(B36+B42+B43+B44)</f>
        <v>1995</v>
      </c>
      <c r="C35" s="34">
        <f t="shared" ref="C35:H35" si="8">SUM(C36+C42+C43+C44)</f>
        <v>3658</v>
      </c>
      <c r="D35" s="31">
        <f t="shared" si="8"/>
        <v>6070</v>
      </c>
      <c r="E35" s="34">
        <f t="shared" si="8"/>
        <v>4077</v>
      </c>
      <c r="F35" s="31">
        <f t="shared" si="8"/>
        <v>889</v>
      </c>
      <c r="G35" s="35">
        <f t="shared" si="8"/>
        <v>528</v>
      </c>
      <c r="H35" s="36">
        <f t="shared" si="8"/>
        <v>17217</v>
      </c>
      <c r="I35" s="75">
        <f t="shared" si="1"/>
        <v>679.20455312032891</v>
      </c>
    </row>
    <row r="36" spans="1:9" ht="16.5" x14ac:dyDescent="0.25">
      <c r="A36" s="159" t="s">
        <v>17</v>
      </c>
      <c r="B36" s="102">
        <f t="shared" ref="B36:G36" si="9">SUM(B37:B41)</f>
        <v>1995</v>
      </c>
      <c r="C36" s="103">
        <f t="shared" si="9"/>
        <v>3655</v>
      </c>
      <c r="D36" s="104">
        <f t="shared" si="9"/>
        <v>6065</v>
      </c>
      <c r="E36" s="103">
        <f t="shared" si="9"/>
        <v>4075</v>
      </c>
      <c r="F36" s="104">
        <f t="shared" si="9"/>
        <v>889</v>
      </c>
      <c r="G36" s="105">
        <f t="shared" si="9"/>
        <v>527</v>
      </c>
      <c r="H36" s="106">
        <f t="shared" si="2"/>
        <v>17206</v>
      </c>
      <c r="I36" s="121">
        <f t="shared" ref="I36:I67" si="10">H36/B$71 * 100000</f>
        <v>678.77060701564619</v>
      </c>
    </row>
    <row r="37" spans="1:9" ht="16.5" x14ac:dyDescent="0.25">
      <c r="A37" s="159" t="s">
        <v>24</v>
      </c>
      <c r="B37" s="102">
        <v>1544</v>
      </c>
      <c r="C37" s="103">
        <v>2746</v>
      </c>
      <c r="D37" s="104">
        <v>4572</v>
      </c>
      <c r="E37" s="103">
        <v>3045</v>
      </c>
      <c r="F37" s="104">
        <v>674</v>
      </c>
      <c r="G37" s="105">
        <v>404</v>
      </c>
      <c r="H37" s="106">
        <f t="shared" si="2"/>
        <v>12985</v>
      </c>
      <c r="I37" s="121">
        <f t="shared" si="10"/>
        <v>512.25365175509501</v>
      </c>
    </row>
    <row r="38" spans="1:9" ht="16.5" x14ac:dyDescent="0.25">
      <c r="A38" s="159" t="s">
        <v>25</v>
      </c>
      <c r="B38" s="102">
        <v>49</v>
      </c>
      <c r="C38" s="103">
        <v>280</v>
      </c>
      <c r="D38" s="104">
        <v>393</v>
      </c>
      <c r="E38" s="103">
        <v>162</v>
      </c>
      <c r="F38" s="104">
        <v>14</v>
      </c>
      <c r="G38" s="105">
        <v>6</v>
      </c>
      <c r="H38" s="106">
        <f t="shared" si="2"/>
        <v>904</v>
      </c>
      <c r="I38" s="121">
        <f t="shared" si="10"/>
        <v>35.662479875749398</v>
      </c>
    </row>
    <row r="39" spans="1:9" ht="16.5" x14ac:dyDescent="0.25">
      <c r="A39" s="159" t="s">
        <v>26</v>
      </c>
      <c r="B39" s="102">
        <v>68</v>
      </c>
      <c r="C39" s="103">
        <v>84</v>
      </c>
      <c r="D39" s="104">
        <v>134</v>
      </c>
      <c r="E39" s="103">
        <v>157</v>
      </c>
      <c r="F39" s="104">
        <v>17</v>
      </c>
      <c r="G39" s="105">
        <v>3</v>
      </c>
      <c r="H39" s="106">
        <f t="shared" si="2"/>
        <v>463</v>
      </c>
      <c r="I39" s="121">
        <f t="shared" si="10"/>
        <v>18.265186042557492</v>
      </c>
    </row>
    <row r="40" spans="1:9" ht="16.5" x14ac:dyDescent="0.25">
      <c r="A40" s="159" t="s">
        <v>27</v>
      </c>
      <c r="B40" s="102">
        <v>177</v>
      </c>
      <c r="C40" s="103">
        <v>157</v>
      </c>
      <c r="D40" s="104">
        <v>240</v>
      </c>
      <c r="E40" s="103">
        <v>269</v>
      </c>
      <c r="F40" s="104">
        <v>71</v>
      </c>
      <c r="G40" s="105">
        <v>39</v>
      </c>
      <c r="H40" s="106">
        <f t="shared" si="2"/>
        <v>953</v>
      </c>
      <c r="I40" s="121">
        <f t="shared" si="10"/>
        <v>37.59551252388183</v>
      </c>
    </row>
    <row r="41" spans="1:9" ht="16.5" x14ac:dyDescent="0.25">
      <c r="A41" s="159" t="s">
        <v>28</v>
      </c>
      <c r="B41" s="102">
        <v>157</v>
      </c>
      <c r="C41" s="103">
        <v>388</v>
      </c>
      <c r="D41" s="104">
        <v>726</v>
      </c>
      <c r="E41" s="103">
        <v>442</v>
      </c>
      <c r="F41" s="104">
        <v>113</v>
      </c>
      <c r="G41" s="105">
        <v>75</v>
      </c>
      <c r="H41" s="106">
        <f t="shared" si="2"/>
        <v>1901</v>
      </c>
      <c r="I41" s="121">
        <f t="shared" si="10"/>
        <v>74.993776818362392</v>
      </c>
    </row>
    <row r="42" spans="1:9" ht="16.5" x14ac:dyDescent="0.25">
      <c r="A42" s="159" t="s">
        <v>18</v>
      </c>
      <c r="B42" s="102">
        <v>0</v>
      </c>
      <c r="C42" s="103">
        <v>0</v>
      </c>
      <c r="D42" s="104">
        <v>0</v>
      </c>
      <c r="E42" s="103">
        <v>1</v>
      </c>
      <c r="F42" s="104">
        <v>0</v>
      </c>
      <c r="G42" s="105">
        <v>0</v>
      </c>
      <c r="H42" s="106">
        <f t="shared" si="2"/>
        <v>1</v>
      </c>
      <c r="I42" s="170">
        <f t="shared" si="10"/>
        <v>3.9449645880253757E-2</v>
      </c>
    </row>
    <row r="43" spans="1:9" ht="16.5" x14ac:dyDescent="0.25">
      <c r="A43" s="159" t="s">
        <v>19</v>
      </c>
      <c r="B43" s="133">
        <v>0</v>
      </c>
      <c r="C43" s="134">
        <v>3</v>
      </c>
      <c r="D43" s="135">
        <v>4</v>
      </c>
      <c r="E43" s="134">
        <v>0</v>
      </c>
      <c r="F43" s="135">
        <v>0</v>
      </c>
      <c r="G43" s="136">
        <v>0</v>
      </c>
      <c r="H43" s="106">
        <f>SUM(B43:G43)</f>
        <v>7</v>
      </c>
      <c r="I43" s="170">
        <f t="shared" si="10"/>
        <v>0.27614752116177627</v>
      </c>
    </row>
    <row r="44" spans="1:9" ht="16.5" x14ac:dyDescent="0.25">
      <c r="A44" s="159" t="s">
        <v>58</v>
      </c>
      <c r="B44" s="137">
        <v>0</v>
      </c>
      <c r="C44" s="138">
        <v>0</v>
      </c>
      <c r="D44" s="139">
        <v>1</v>
      </c>
      <c r="E44" s="138">
        <v>1</v>
      </c>
      <c r="F44" s="139">
        <v>0</v>
      </c>
      <c r="G44" s="140">
        <v>1</v>
      </c>
      <c r="H44" s="141">
        <f>SUM(B44:G44)</f>
        <v>3</v>
      </c>
      <c r="I44" s="171">
        <f t="shared" si="10"/>
        <v>0.11834893764076128</v>
      </c>
    </row>
    <row r="45" spans="1:9" ht="16.5" x14ac:dyDescent="0.25">
      <c r="A45" s="39" t="s">
        <v>32</v>
      </c>
      <c r="B45" s="40">
        <v>630</v>
      </c>
      <c r="C45" s="41">
        <v>175</v>
      </c>
      <c r="D45" s="42">
        <v>492</v>
      </c>
      <c r="E45" s="41">
        <v>389</v>
      </c>
      <c r="F45" s="42">
        <v>35</v>
      </c>
      <c r="G45" s="43">
        <v>20</v>
      </c>
      <c r="H45" s="44">
        <f t="shared" si="2"/>
        <v>1741</v>
      </c>
      <c r="I45" s="76">
        <f t="shared" si="10"/>
        <v>68.681833477521792</v>
      </c>
    </row>
    <row r="46" spans="1:9" ht="16.5" x14ac:dyDescent="0.25">
      <c r="A46" s="39" t="s">
        <v>33</v>
      </c>
      <c r="B46" s="40">
        <v>20</v>
      </c>
      <c r="C46" s="41">
        <v>9</v>
      </c>
      <c r="D46" s="42">
        <v>20</v>
      </c>
      <c r="E46" s="41">
        <v>13</v>
      </c>
      <c r="F46" s="42">
        <v>6</v>
      </c>
      <c r="G46" s="43">
        <v>3</v>
      </c>
      <c r="H46" s="44">
        <f t="shared" si="2"/>
        <v>71</v>
      </c>
      <c r="I46" s="76">
        <f t="shared" si="10"/>
        <v>2.8009248574980163</v>
      </c>
    </row>
    <row r="47" spans="1:9" ht="16.5" x14ac:dyDescent="0.25">
      <c r="A47" s="32" t="s">
        <v>47</v>
      </c>
      <c r="B47" s="33">
        <f t="shared" ref="B47:G47" si="11">SUM(B48:B51)</f>
        <v>108</v>
      </c>
      <c r="C47" s="34">
        <f t="shared" si="11"/>
        <v>124</v>
      </c>
      <c r="D47" s="31">
        <f t="shared" si="11"/>
        <v>199</v>
      </c>
      <c r="E47" s="34">
        <f t="shared" si="11"/>
        <v>108</v>
      </c>
      <c r="F47" s="31">
        <f t="shared" si="11"/>
        <v>17</v>
      </c>
      <c r="G47" s="35">
        <f t="shared" si="11"/>
        <v>20</v>
      </c>
      <c r="H47" s="36">
        <f t="shared" si="2"/>
        <v>576</v>
      </c>
      <c r="I47" s="75">
        <f t="shared" si="10"/>
        <v>22.722996027026163</v>
      </c>
    </row>
    <row r="48" spans="1:9" ht="16.5" x14ac:dyDescent="0.25">
      <c r="A48" s="159" t="s">
        <v>17</v>
      </c>
      <c r="B48" s="102">
        <v>108</v>
      </c>
      <c r="C48" s="103">
        <v>124</v>
      </c>
      <c r="D48" s="104">
        <v>199</v>
      </c>
      <c r="E48" s="103">
        <v>108</v>
      </c>
      <c r="F48" s="104">
        <v>17</v>
      </c>
      <c r="G48" s="105">
        <v>20</v>
      </c>
      <c r="H48" s="106">
        <f t="shared" si="2"/>
        <v>576</v>
      </c>
      <c r="I48" s="121">
        <f t="shared" si="10"/>
        <v>22.722996027026163</v>
      </c>
    </row>
    <row r="49" spans="1:9" ht="16.5" x14ac:dyDescent="0.25">
      <c r="A49" s="160" t="s">
        <v>18</v>
      </c>
      <c r="B49" s="108">
        <v>0</v>
      </c>
      <c r="C49" s="109">
        <v>0</v>
      </c>
      <c r="D49" s="110">
        <v>0</v>
      </c>
      <c r="E49" s="109">
        <v>0</v>
      </c>
      <c r="F49" s="110">
        <v>0</v>
      </c>
      <c r="G49" s="111">
        <v>0</v>
      </c>
      <c r="H49" s="112">
        <f t="shared" si="2"/>
        <v>0</v>
      </c>
      <c r="I49" s="143">
        <f t="shared" si="10"/>
        <v>0</v>
      </c>
    </row>
    <row r="50" spans="1:9" ht="16.5" x14ac:dyDescent="0.25">
      <c r="A50" s="159" t="s">
        <v>19</v>
      </c>
      <c r="B50" s="108">
        <v>0</v>
      </c>
      <c r="C50" s="109">
        <v>0</v>
      </c>
      <c r="D50" s="110">
        <v>0</v>
      </c>
      <c r="E50" s="109">
        <v>0</v>
      </c>
      <c r="F50" s="110">
        <v>0</v>
      </c>
      <c r="G50" s="111">
        <v>0</v>
      </c>
      <c r="H50" s="112">
        <f t="shared" si="2"/>
        <v>0</v>
      </c>
      <c r="I50" s="143">
        <f t="shared" si="10"/>
        <v>0</v>
      </c>
    </row>
    <row r="51" spans="1:9" ht="16.5" x14ac:dyDescent="0.25">
      <c r="A51" s="159" t="s">
        <v>58</v>
      </c>
      <c r="B51" s="144">
        <v>0</v>
      </c>
      <c r="C51" s="116">
        <v>0</v>
      </c>
      <c r="D51" s="116">
        <v>0</v>
      </c>
      <c r="E51" s="116">
        <v>0</v>
      </c>
      <c r="F51" s="116">
        <v>0</v>
      </c>
      <c r="G51" s="118">
        <v>0</v>
      </c>
      <c r="H51" s="119">
        <f t="shared" si="2"/>
        <v>0</v>
      </c>
      <c r="I51" s="123">
        <f t="shared" si="10"/>
        <v>0</v>
      </c>
    </row>
    <row r="52" spans="1:9" ht="16.5" x14ac:dyDescent="0.25">
      <c r="A52" s="45" t="s">
        <v>46</v>
      </c>
      <c r="B52" s="46">
        <f t="shared" ref="B52:G52" si="12">SUM(B53:B54)</f>
        <v>3768</v>
      </c>
      <c r="C52" s="46">
        <f t="shared" si="12"/>
        <v>732</v>
      </c>
      <c r="D52" s="46">
        <f t="shared" si="12"/>
        <v>1551</v>
      </c>
      <c r="E52" s="46">
        <f t="shared" si="12"/>
        <v>1238</v>
      </c>
      <c r="F52" s="46">
        <f t="shared" si="12"/>
        <v>333</v>
      </c>
      <c r="G52" s="46">
        <f t="shared" si="12"/>
        <v>219</v>
      </c>
      <c r="H52" s="50">
        <f>SUM(B52:G52)</f>
        <v>7841</v>
      </c>
      <c r="I52" s="61">
        <f t="shared" si="10"/>
        <v>309.32467334706968</v>
      </c>
    </row>
    <row r="53" spans="1:9" ht="16.5" x14ac:dyDescent="0.25">
      <c r="A53" s="159" t="s">
        <v>30</v>
      </c>
      <c r="B53" s="78">
        <v>3666</v>
      </c>
      <c r="C53" s="79">
        <v>687</v>
      </c>
      <c r="D53" s="80">
        <v>1432</v>
      </c>
      <c r="E53" s="79">
        <v>1134</v>
      </c>
      <c r="F53" s="80">
        <v>311</v>
      </c>
      <c r="G53" s="81">
        <v>196</v>
      </c>
      <c r="H53" s="82">
        <f>SUM(B53:G53)</f>
        <v>7426</v>
      </c>
      <c r="I53" s="83">
        <f t="shared" si="10"/>
        <v>292.9530703067644</v>
      </c>
    </row>
    <row r="54" spans="1:9" ht="16.5" x14ac:dyDescent="0.25">
      <c r="A54" s="159" t="s">
        <v>31</v>
      </c>
      <c r="B54" s="78">
        <v>102</v>
      </c>
      <c r="C54" s="79">
        <v>45</v>
      </c>
      <c r="D54" s="80">
        <v>119</v>
      </c>
      <c r="E54" s="79">
        <v>104</v>
      </c>
      <c r="F54" s="80">
        <v>22</v>
      </c>
      <c r="G54" s="81">
        <v>23</v>
      </c>
      <c r="H54" s="82">
        <f>SUM(B54:G54)</f>
        <v>415</v>
      </c>
      <c r="I54" s="83">
        <f t="shared" si="10"/>
        <v>16.37160304030531</v>
      </c>
    </row>
    <row r="55" spans="1:9" ht="16.5" x14ac:dyDescent="0.25">
      <c r="A55" s="39" t="s">
        <v>11</v>
      </c>
      <c r="B55" s="40">
        <v>4120</v>
      </c>
      <c r="C55" s="41">
        <v>1972</v>
      </c>
      <c r="D55" s="42">
        <v>4810</v>
      </c>
      <c r="E55" s="41">
        <v>3262</v>
      </c>
      <c r="F55" s="42">
        <v>599</v>
      </c>
      <c r="G55" s="43">
        <v>317</v>
      </c>
      <c r="H55" s="44">
        <f>SUM(B55:G55)</f>
        <v>15080</v>
      </c>
      <c r="I55" s="76">
        <f t="shared" si="10"/>
        <v>594.90065987422668</v>
      </c>
    </row>
    <row r="56" spans="1:9" ht="16.5" x14ac:dyDescent="0.25">
      <c r="A56" s="32" t="s">
        <v>45</v>
      </c>
      <c r="B56" s="33">
        <f t="shared" ref="B56:G56" si="13">SUM(B57:B60)</f>
        <v>913</v>
      </c>
      <c r="C56" s="33">
        <f t="shared" si="13"/>
        <v>350</v>
      </c>
      <c r="D56" s="33">
        <f t="shared" si="13"/>
        <v>664</v>
      </c>
      <c r="E56" s="33">
        <f t="shared" si="13"/>
        <v>471</v>
      </c>
      <c r="F56" s="33">
        <f t="shared" si="13"/>
        <v>107</v>
      </c>
      <c r="G56" s="33">
        <f t="shared" si="13"/>
        <v>100</v>
      </c>
      <c r="H56" s="44">
        <f>SUM(B56:G56)</f>
        <v>2605</v>
      </c>
      <c r="I56" s="75">
        <f t="shared" si="10"/>
        <v>102.76632751806103</v>
      </c>
    </row>
    <row r="57" spans="1:9" ht="16.5" x14ac:dyDescent="0.25">
      <c r="A57" s="159" t="s">
        <v>1</v>
      </c>
      <c r="B57" s="145">
        <v>685</v>
      </c>
      <c r="C57" s="146">
        <v>126</v>
      </c>
      <c r="D57" s="147">
        <v>268</v>
      </c>
      <c r="E57" s="148">
        <v>242</v>
      </c>
      <c r="F57" s="147">
        <v>75</v>
      </c>
      <c r="G57" s="149">
        <v>79</v>
      </c>
      <c r="H57" s="106">
        <f t="shared" si="2"/>
        <v>1475</v>
      </c>
      <c r="I57" s="121">
        <f t="shared" si="10"/>
        <v>58.188227673374293</v>
      </c>
    </row>
    <row r="58" spans="1:9" ht="16.5" x14ac:dyDescent="0.25">
      <c r="A58" s="159" t="s">
        <v>22</v>
      </c>
      <c r="B58" s="102">
        <v>121</v>
      </c>
      <c r="C58" s="103">
        <v>128</v>
      </c>
      <c r="D58" s="104">
        <v>226</v>
      </c>
      <c r="E58" s="103">
        <v>136</v>
      </c>
      <c r="F58" s="104">
        <v>9</v>
      </c>
      <c r="G58" s="105">
        <v>7</v>
      </c>
      <c r="H58" s="106">
        <f t="shared" si="2"/>
        <v>627</v>
      </c>
      <c r="I58" s="121">
        <f t="shared" si="10"/>
        <v>24.734927966919102</v>
      </c>
    </row>
    <row r="59" spans="1:9" ht="16.5" x14ac:dyDescent="0.25">
      <c r="A59" s="159" t="s">
        <v>23</v>
      </c>
      <c r="B59" s="102">
        <v>0</v>
      </c>
      <c r="C59" s="103">
        <v>2</v>
      </c>
      <c r="D59" s="104">
        <v>2</v>
      </c>
      <c r="E59" s="103">
        <v>0</v>
      </c>
      <c r="F59" s="104">
        <v>0</v>
      </c>
      <c r="G59" s="105">
        <v>0</v>
      </c>
      <c r="H59" s="106">
        <f>SUM(B59:G59)</f>
        <v>4</v>
      </c>
      <c r="I59" s="170">
        <f t="shared" si="10"/>
        <v>0.15779858352101503</v>
      </c>
    </row>
    <row r="60" spans="1:9" ht="16.5" x14ac:dyDescent="0.25">
      <c r="A60" s="159" t="s">
        <v>59</v>
      </c>
      <c r="B60" s="145">
        <v>107</v>
      </c>
      <c r="C60" s="148">
        <v>94</v>
      </c>
      <c r="D60" s="147">
        <v>168</v>
      </c>
      <c r="E60" s="148">
        <v>93</v>
      </c>
      <c r="F60" s="147">
        <v>23</v>
      </c>
      <c r="G60" s="149">
        <v>14</v>
      </c>
      <c r="H60" s="106">
        <f t="shared" si="2"/>
        <v>499</v>
      </c>
      <c r="I60" s="121">
        <f t="shared" si="10"/>
        <v>19.685373294246624</v>
      </c>
    </row>
    <row r="61" spans="1:9" ht="16.5" x14ac:dyDescent="0.25">
      <c r="A61" s="32" t="s">
        <v>42</v>
      </c>
      <c r="B61" s="33">
        <f t="shared" ref="B61:G61" si="14">SUM(B62:B65)</f>
        <v>10485</v>
      </c>
      <c r="C61" s="34">
        <f t="shared" si="14"/>
        <v>3106</v>
      </c>
      <c r="D61" s="31">
        <f t="shared" si="14"/>
        <v>5630</v>
      </c>
      <c r="E61" s="34">
        <f t="shared" si="14"/>
        <v>3078</v>
      </c>
      <c r="F61" s="31">
        <f t="shared" si="14"/>
        <v>636</v>
      </c>
      <c r="G61" s="35">
        <f t="shared" si="14"/>
        <v>592</v>
      </c>
      <c r="H61" s="36">
        <f t="shared" si="2"/>
        <v>23527</v>
      </c>
      <c r="I61" s="75">
        <f t="shared" si="10"/>
        <v>928.13181862473004</v>
      </c>
    </row>
    <row r="62" spans="1:9" ht="16.5" x14ac:dyDescent="0.25">
      <c r="A62" s="159" t="s">
        <v>1</v>
      </c>
      <c r="B62" s="145">
        <v>9933</v>
      </c>
      <c r="C62" s="148">
        <v>2333</v>
      </c>
      <c r="D62" s="147">
        <v>4294</v>
      </c>
      <c r="E62" s="148">
        <v>2456</v>
      </c>
      <c r="F62" s="147">
        <v>588</v>
      </c>
      <c r="G62" s="149">
        <v>562</v>
      </c>
      <c r="H62" s="106">
        <f t="shared" si="2"/>
        <v>20166</v>
      </c>
      <c r="I62" s="121">
        <f t="shared" si="10"/>
        <v>795.54155882119721</v>
      </c>
    </row>
    <row r="63" spans="1:9" ht="16.5" x14ac:dyDescent="0.25">
      <c r="A63" s="159" t="s">
        <v>22</v>
      </c>
      <c r="B63" s="102">
        <v>0</v>
      </c>
      <c r="C63" s="103">
        <v>0</v>
      </c>
      <c r="D63" s="104">
        <v>0</v>
      </c>
      <c r="E63" s="103">
        <v>0</v>
      </c>
      <c r="F63" s="104">
        <v>0</v>
      </c>
      <c r="G63" s="105">
        <v>0</v>
      </c>
      <c r="H63" s="106">
        <f t="shared" si="2"/>
        <v>0</v>
      </c>
      <c r="I63" s="121">
        <f t="shared" si="10"/>
        <v>0</v>
      </c>
    </row>
    <row r="64" spans="1:9" ht="16.5" x14ac:dyDescent="0.25">
      <c r="A64" s="159" t="s">
        <v>23</v>
      </c>
      <c r="B64" s="145">
        <v>508</v>
      </c>
      <c r="C64" s="148">
        <v>715</v>
      </c>
      <c r="D64" s="147">
        <v>1219</v>
      </c>
      <c r="E64" s="148">
        <v>575</v>
      </c>
      <c r="F64" s="147">
        <v>46</v>
      </c>
      <c r="G64" s="149">
        <v>29</v>
      </c>
      <c r="H64" s="131">
        <f>SUM(B64:G64)</f>
        <v>3092</v>
      </c>
      <c r="I64" s="150">
        <f t="shared" si="10"/>
        <v>121.97830506174461</v>
      </c>
    </row>
    <row r="65" spans="1:9" ht="16.5" x14ac:dyDescent="0.25">
      <c r="A65" s="159" t="s">
        <v>59</v>
      </c>
      <c r="B65" s="145">
        <v>44</v>
      </c>
      <c r="C65" s="148">
        <v>58</v>
      </c>
      <c r="D65" s="147">
        <v>117</v>
      </c>
      <c r="E65" s="148">
        <v>47</v>
      </c>
      <c r="F65" s="147">
        <v>2</v>
      </c>
      <c r="G65" s="149">
        <v>1</v>
      </c>
      <c r="H65" s="106">
        <f t="shared" si="2"/>
        <v>269</v>
      </c>
      <c r="I65" s="121">
        <f t="shared" si="10"/>
        <v>10.61195474178826</v>
      </c>
    </row>
    <row r="66" spans="1:9" ht="16.5" x14ac:dyDescent="0.25">
      <c r="A66" s="32" t="s">
        <v>41</v>
      </c>
      <c r="B66" s="33">
        <f t="shared" ref="B66:G66" si="15">SUM(B67:B70)</f>
        <v>17</v>
      </c>
      <c r="C66" s="34">
        <f t="shared" si="15"/>
        <v>4</v>
      </c>
      <c r="D66" s="31">
        <f t="shared" si="15"/>
        <v>13</v>
      </c>
      <c r="E66" s="34">
        <f t="shared" si="15"/>
        <v>6</v>
      </c>
      <c r="F66" s="31">
        <f t="shared" si="15"/>
        <v>3</v>
      </c>
      <c r="G66" s="35">
        <f t="shared" si="15"/>
        <v>5</v>
      </c>
      <c r="H66" s="36">
        <f t="shared" si="2"/>
        <v>48</v>
      </c>
      <c r="I66" s="75">
        <f t="shared" si="10"/>
        <v>1.8935830022521805</v>
      </c>
    </row>
    <row r="67" spans="1:9" ht="16.5" x14ac:dyDescent="0.25">
      <c r="A67" s="159" t="s">
        <v>17</v>
      </c>
      <c r="B67" s="102">
        <v>13</v>
      </c>
      <c r="C67" s="103">
        <v>0</v>
      </c>
      <c r="D67" s="104">
        <v>6</v>
      </c>
      <c r="E67" s="103">
        <v>5</v>
      </c>
      <c r="F67" s="104">
        <v>2</v>
      </c>
      <c r="G67" s="105">
        <v>4</v>
      </c>
      <c r="H67" s="106">
        <f t="shared" si="2"/>
        <v>30</v>
      </c>
      <c r="I67" s="121">
        <f t="shared" si="10"/>
        <v>1.1834893764076126</v>
      </c>
    </row>
    <row r="68" spans="1:9" ht="16.5" x14ac:dyDescent="0.25">
      <c r="A68" s="160" t="s">
        <v>18</v>
      </c>
      <c r="B68" s="145">
        <v>4</v>
      </c>
      <c r="C68" s="148">
        <v>2</v>
      </c>
      <c r="D68" s="147">
        <v>3</v>
      </c>
      <c r="E68" s="148">
        <v>1</v>
      </c>
      <c r="F68" s="147">
        <v>1</v>
      </c>
      <c r="G68" s="149">
        <v>1</v>
      </c>
      <c r="H68" s="106">
        <f t="shared" si="2"/>
        <v>12</v>
      </c>
      <c r="I68" s="170">
        <f t="shared" ref="I68:I70" si="16">H68/B$71 * 100000</f>
        <v>0.47339575056304511</v>
      </c>
    </row>
    <row r="69" spans="1:9" ht="16.5" x14ac:dyDescent="0.25">
      <c r="A69" s="159" t="s">
        <v>19</v>
      </c>
      <c r="B69" s="102">
        <v>0</v>
      </c>
      <c r="C69" s="103">
        <v>2</v>
      </c>
      <c r="D69" s="104">
        <v>4</v>
      </c>
      <c r="E69" s="103">
        <v>0</v>
      </c>
      <c r="F69" s="104">
        <v>0</v>
      </c>
      <c r="G69" s="105">
        <v>0</v>
      </c>
      <c r="H69" s="106">
        <f t="shared" ref="H69:H70" si="17">SUM(B69:G69)</f>
        <v>6</v>
      </c>
      <c r="I69" s="170">
        <f t="shared" si="16"/>
        <v>0.23669787528152256</v>
      </c>
    </row>
    <row r="70" spans="1:9" ht="16.5" x14ac:dyDescent="0.25">
      <c r="A70" s="159" t="s">
        <v>58</v>
      </c>
      <c r="B70" s="102">
        <v>0</v>
      </c>
      <c r="C70" s="103">
        <v>0</v>
      </c>
      <c r="D70" s="104">
        <v>0</v>
      </c>
      <c r="E70" s="103">
        <v>0</v>
      </c>
      <c r="F70" s="147">
        <v>0</v>
      </c>
      <c r="G70" s="149">
        <v>0</v>
      </c>
      <c r="H70" s="106">
        <f t="shared" si="17"/>
        <v>0</v>
      </c>
      <c r="I70" s="121">
        <f t="shared" si="16"/>
        <v>0</v>
      </c>
    </row>
    <row r="71" spans="1:9" ht="14.25" x14ac:dyDescent="0.2">
      <c r="A71" s="69" t="s">
        <v>62</v>
      </c>
      <c r="B71" s="207">
        <v>2534877</v>
      </c>
      <c r="C71" s="207"/>
      <c r="D71" s="68"/>
      <c r="E71" s="68"/>
      <c r="F71" s="68"/>
      <c r="G71" s="68"/>
      <c r="H71" s="68"/>
      <c r="I71" s="68"/>
    </row>
    <row r="72" spans="1:9" ht="14.25" x14ac:dyDescent="0.2">
      <c r="A72" s="69" t="s">
        <v>13</v>
      </c>
      <c r="B72" s="70"/>
      <c r="C72" s="71"/>
      <c r="D72" s="72"/>
      <c r="E72" s="70"/>
      <c r="F72" s="71"/>
      <c r="G72" s="73"/>
      <c r="H72" s="69"/>
      <c r="I72" s="69"/>
    </row>
    <row r="73" spans="1:9" x14ac:dyDescent="0.2">
      <c r="A73" s="208" t="s">
        <v>14</v>
      </c>
      <c r="B73" s="209"/>
      <c r="C73" s="209"/>
      <c r="D73" s="209"/>
      <c r="E73" s="209"/>
      <c r="F73" s="209"/>
      <c r="G73" s="209"/>
      <c r="H73" s="209"/>
      <c r="I73" s="209"/>
    </row>
    <row r="74" spans="1:9" ht="14.25" x14ac:dyDescent="0.2">
      <c r="A74" s="74" t="s">
        <v>81</v>
      </c>
      <c r="B74" s="70"/>
      <c r="C74" s="71"/>
      <c r="D74" s="72"/>
      <c r="E74" s="70"/>
      <c r="F74" s="71"/>
      <c r="G74" s="73"/>
      <c r="H74" s="69"/>
      <c r="I74" s="69"/>
    </row>
    <row r="75" spans="1:9" ht="15" x14ac:dyDescent="0.2">
      <c r="A75" s="1"/>
      <c r="B75" s="11"/>
      <c r="C75" s="2"/>
      <c r="D75" s="22"/>
      <c r="E75" s="11"/>
      <c r="F75" s="2"/>
      <c r="G75" s="1"/>
      <c r="H75" s="1"/>
      <c r="I75" s="1"/>
    </row>
  </sheetData>
  <mergeCells count="4">
    <mergeCell ref="A2:A3"/>
    <mergeCell ref="B2:G2"/>
    <mergeCell ref="B71:C71"/>
    <mergeCell ref="A73:I7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4"/>
  <sheetViews>
    <sheetView topLeftCell="A43" zoomScale="70" workbookViewId="0">
      <selection activeCell="A74" sqref="A74"/>
    </sheetView>
  </sheetViews>
  <sheetFormatPr defaultColWidth="11.5" defaultRowHeight="15" x14ac:dyDescent="0.2"/>
  <cols>
    <col min="1" max="1" width="56" style="1" customWidth="1"/>
    <col min="2" max="3" width="12" style="1" customWidth="1"/>
    <col min="4" max="4" width="12" style="22" customWidth="1"/>
    <col min="5" max="7" width="12" style="1" customWidth="1"/>
    <col min="8" max="8" width="11.83203125" style="1" customWidth="1"/>
    <col min="9" max="9" width="21.5" style="1" customWidth="1"/>
    <col min="10" max="10" width="5.83203125" style="1" customWidth="1"/>
    <col min="11" max="11" width="11.6640625" style="1" bestFit="1" customWidth="1"/>
    <col min="12" max="12" width="10.33203125" style="1" bestFit="1" customWidth="1"/>
    <col min="13" max="13" width="9.6640625" style="1" bestFit="1" customWidth="1"/>
    <col min="14" max="14" width="11.5" style="1" customWidth="1"/>
    <col min="15" max="15" width="10" style="1" customWidth="1"/>
    <col min="16" max="16" width="10.1640625" style="1" customWidth="1"/>
    <col min="17" max="16384" width="11.5" style="1"/>
  </cols>
  <sheetData>
    <row r="1" spans="1:15" s="20" customFormat="1" ht="30.75" customHeight="1" x14ac:dyDescent="0.3">
      <c r="A1" s="97" t="s">
        <v>70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</row>
    <row r="2" spans="1:15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</row>
    <row r="3" spans="1:15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</row>
    <row r="4" spans="1:15" s="37" customFormat="1" ht="17.100000000000001" customHeight="1" x14ac:dyDescent="0.25">
      <c r="A4" s="32" t="s">
        <v>48</v>
      </c>
      <c r="B4" s="33">
        <f t="shared" ref="B4:G4" si="0">SUM(B5:B8)</f>
        <v>2234</v>
      </c>
      <c r="C4" s="34">
        <f t="shared" si="0"/>
        <v>1673</v>
      </c>
      <c r="D4" s="31">
        <f t="shared" si="0"/>
        <v>3941</v>
      </c>
      <c r="E4" s="34">
        <f t="shared" si="0"/>
        <v>2388</v>
      </c>
      <c r="F4" s="31">
        <f t="shared" si="0"/>
        <v>528</v>
      </c>
      <c r="G4" s="35">
        <f t="shared" si="0"/>
        <v>395</v>
      </c>
      <c r="H4" s="36">
        <f>SUM(B4:G4)</f>
        <v>11159</v>
      </c>
      <c r="I4" s="62">
        <f t="shared" ref="I4:I12" si="1">H4/B$71 * 100000</f>
        <v>442.60774855088499</v>
      </c>
      <c r="J4" s="38"/>
      <c r="K4" s="86"/>
      <c r="L4" s="84"/>
      <c r="M4" s="84"/>
      <c r="N4" s="84"/>
      <c r="O4" s="84"/>
    </row>
    <row r="5" spans="1:15" ht="17.100000000000001" customHeight="1" x14ac:dyDescent="0.25">
      <c r="A5" s="159" t="s">
        <v>17</v>
      </c>
      <c r="B5" s="102">
        <v>2159</v>
      </c>
      <c r="C5" s="103">
        <v>1504</v>
      </c>
      <c r="D5" s="104">
        <v>3626</v>
      </c>
      <c r="E5" s="103">
        <v>2291</v>
      </c>
      <c r="F5" s="104">
        <v>523</v>
      </c>
      <c r="G5" s="105">
        <v>392</v>
      </c>
      <c r="H5" s="106">
        <f t="shared" ref="H5:H68" si="2">SUM(B5:G5)</f>
        <v>10495</v>
      </c>
      <c r="I5" s="107">
        <f t="shared" si="1"/>
        <v>416.27102079411583</v>
      </c>
      <c r="K5" s="84"/>
      <c r="L5" s="84"/>
      <c r="M5" s="84"/>
      <c r="N5" s="84"/>
      <c r="O5" s="84"/>
    </row>
    <row r="6" spans="1:15" ht="17.100000000000001" customHeight="1" x14ac:dyDescent="0.25">
      <c r="A6" s="159" t="s">
        <v>18</v>
      </c>
      <c r="B6" s="102">
        <v>28</v>
      </c>
      <c r="C6" s="103">
        <v>46</v>
      </c>
      <c r="D6" s="104">
        <v>74</v>
      </c>
      <c r="E6" s="103">
        <v>24</v>
      </c>
      <c r="F6" s="104">
        <v>3</v>
      </c>
      <c r="G6" s="105">
        <v>2</v>
      </c>
      <c r="H6" s="106">
        <f t="shared" si="2"/>
        <v>177</v>
      </c>
      <c r="I6" s="107">
        <f t="shared" si="1"/>
        <v>7.0204831520303479</v>
      </c>
      <c r="K6" s="84"/>
      <c r="L6" s="84"/>
      <c r="M6" s="84"/>
      <c r="N6" s="84"/>
      <c r="O6" s="84"/>
    </row>
    <row r="7" spans="1:15" ht="17.100000000000001" customHeight="1" x14ac:dyDescent="0.25">
      <c r="A7" s="159" t="s">
        <v>19</v>
      </c>
      <c r="B7" s="102">
        <v>37</v>
      </c>
      <c r="C7" s="103">
        <v>110</v>
      </c>
      <c r="D7" s="104">
        <v>217</v>
      </c>
      <c r="E7" s="103">
        <v>63</v>
      </c>
      <c r="F7" s="104">
        <v>2</v>
      </c>
      <c r="G7" s="105">
        <v>1</v>
      </c>
      <c r="H7" s="106">
        <f t="shared" si="2"/>
        <v>430</v>
      </c>
      <c r="I7" s="107">
        <f t="shared" si="1"/>
        <v>17.055411047305366</v>
      </c>
      <c r="K7" s="84"/>
      <c r="L7" s="84"/>
      <c r="M7" s="84"/>
      <c r="N7" s="84"/>
      <c r="O7" s="84"/>
    </row>
    <row r="8" spans="1:15" ht="17.100000000000001" customHeight="1" x14ac:dyDescent="0.25">
      <c r="A8" s="159" t="s">
        <v>58</v>
      </c>
      <c r="B8" s="108">
        <v>10</v>
      </c>
      <c r="C8" s="109">
        <v>13</v>
      </c>
      <c r="D8" s="110">
        <v>24</v>
      </c>
      <c r="E8" s="109">
        <v>10</v>
      </c>
      <c r="F8" s="110">
        <v>0</v>
      </c>
      <c r="G8" s="111">
        <v>0</v>
      </c>
      <c r="H8" s="106">
        <f t="shared" si="2"/>
        <v>57</v>
      </c>
      <c r="I8" s="107">
        <f t="shared" si="1"/>
        <v>2.2608335574335019</v>
      </c>
      <c r="K8" s="84"/>
      <c r="L8" s="84"/>
      <c r="M8" s="84"/>
      <c r="N8" s="84"/>
      <c r="O8" s="84"/>
    </row>
    <row r="9" spans="1:15" ht="17.100000000000001" customHeight="1" x14ac:dyDescent="0.25">
      <c r="A9" s="32" t="s">
        <v>60</v>
      </c>
      <c r="B9" s="33">
        <f t="shared" ref="B9:G9" si="3">SUM(B10:B13)</f>
        <v>27</v>
      </c>
      <c r="C9" s="34">
        <f t="shared" si="3"/>
        <v>8</v>
      </c>
      <c r="D9" s="31">
        <f t="shared" si="3"/>
        <v>12</v>
      </c>
      <c r="E9" s="34">
        <f t="shared" si="3"/>
        <v>6</v>
      </c>
      <c r="F9" s="31">
        <f t="shared" si="3"/>
        <v>1</v>
      </c>
      <c r="G9" s="35">
        <f t="shared" si="3"/>
        <v>1</v>
      </c>
      <c r="H9" s="36">
        <f t="shared" si="2"/>
        <v>55</v>
      </c>
      <c r="I9" s="62">
        <f t="shared" si="1"/>
        <v>2.1815060641902209</v>
      </c>
      <c r="J9" s="37"/>
      <c r="K9" s="84"/>
      <c r="L9" s="84"/>
      <c r="M9" s="84"/>
      <c r="N9" s="84"/>
      <c r="O9" s="84"/>
    </row>
    <row r="10" spans="1:15" ht="17.100000000000001" customHeight="1" x14ac:dyDescent="0.25">
      <c r="A10" s="159" t="s">
        <v>17</v>
      </c>
      <c r="B10" s="102">
        <v>25</v>
      </c>
      <c r="C10" s="103">
        <v>8</v>
      </c>
      <c r="D10" s="104">
        <v>11</v>
      </c>
      <c r="E10" s="103">
        <v>6</v>
      </c>
      <c r="F10" s="104">
        <v>1</v>
      </c>
      <c r="G10" s="105">
        <v>1</v>
      </c>
      <c r="H10" s="106">
        <f t="shared" si="2"/>
        <v>52</v>
      </c>
      <c r="I10" s="107">
        <f t="shared" si="1"/>
        <v>2.0625148243252998</v>
      </c>
      <c r="J10" s="30"/>
      <c r="K10" s="84"/>
      <c r="L10" s="84"/>
      <c r="M10" s="84"/>
      <c r="N10" s="84"/>
      <c r="O10" s="84"/>
    </row>
    <row r="11" spans="1:15" ht="17.100000000000001" customHeight="1" x14ac:dyDescent="0.25">
      <c r="A11" s="159" t="s">
        <v>18</v>
      </c>
      <c r="B11" s="102">
        <v>0</v>
      </c>
      <c r="C11" s="103">
        <v>0</v>
      </c>
      <c r="D11" s="104">
        <v>1</v>
      </c>
      <c r="E11" s="103">
        <v>0</v>
      </c>
      <c r="F11" s="104">
        <v>0</v>
      </c>
      <c r="G11" s="105">
        <v>0</v>
      </c>
      <c r="H11" s="106">
        <f>SUM(B11:G11)</f>
        <v>1</v>
      </c>
      <c r="I11" s="114">
        <f t="shared" si="1"/>
        <v>3.9663746621640378E-2</v>
      </c>
      <c r="J11" s="30"/>
      <c r="K11" s="84"/>
      <c r="L11" s="84"/>
      <c r="M11" s="84"/>
      <c r="N11" s="84"/>
      <c r="O11" s="84"/>
    </row>
    <row r="12" spans="1:15" s="37" customFormat="1" ht="17.100000000000001" customHeight="1" x14ac:dyDescent="0.25">
      <c r="A12" s="159" t="s">
        <v>19</v>
      </c>
      <c r="B12" s="102">
        <v>2</v>
      </c>
      <c r="C12" s="103">
        <v>0</v>
      </c>
      <c r="D12" s="104">
        <v>0</v>
      </c>
      <c r="E12" s="103">
        <v>0</v>
      </c>
      <c r="F12" s="104">
        <v>0</v>
      </c>
      <c r="G12" s="105">
        <v>0</v>
      </c>
      <c r="H12" s="106">
        <f>SUM(B12:G12)</f>
        <v>2</v>
      </c>
      <c r="I12" s="114">
        <f t="shared" si="1"/>
        <v>7.9327493243280756E-2</v>
      </c>
      <c r="J12" s="30"/>
      <c r="K12" s="84"/>
      <c r="L12" s="84"/>
      <c r="M12" s="84"/>
      <c r="N12" s="84"/>
      <c r="O12" s="84"/>
    </row>
    <row r="13" spans="1:15" s="30" customFormat="1" ht="17.100000000000001" customHeight="1" x14ac:dyDescent="0.25">
      <c r="A13" s="159" t="s">
        <v>58</v>
      </c>
      <c r="B13" s="102">
        <v>0</v>
      </c>
      <c r="C13" s="103">
        <v>0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0</v>
      </c>
      <c r="I13" s="156" t="e">
        <f>H13/#REF! * 100000</f>
        <v>#REF!</v>
      </c>
      <c r="J13" s="157"/>
    </row>
    <row r="14" spans="1:15" s="30" customFormat="1" ht="17.100000000000001" customHeight="1" x14ac:dyDescent="0.25">
      <c r="A14" s="32" t="s">
        <v>49</v>
      </c>
      <c r="B14" s="33">
        <f t="shared" ref="B14:G14" si="4">SUM(B15:B18)</f>
        <v>19823</v>
      </c>
      <c r="C14" s="34">
        <f t="shared" si="4"/>
        <v>2642</v>
      </c>
      <c r="D14" s="31">
        <f t="shared" si="4"/>
        <v>7015</v>
      </c>
      <c r="E14" s="34">
        <f t="shared" si="4"/>
        <v>8914</v>
      </c>
      <c r="F14" s="31">
        <f t="shared" si="4"/>
        <v>3972</v>
      </c>
      <c r="G14" s="35">
        <f t="shared" si="4"/>
        <v>7828</v>
      </c>
      <c r="H14" s="36">
        <f t="shared" si="2"/>
        <v>50194</v>
      </c>
      <c r="I14" s="75">
        <f t="shared" ref="I14:I45" si="5">H14/B$71 * 100000</f>
        <v>1990.8820979266172</v>
      </c>
      <c r="J14" s="37"/>
      <c r="K14" s="84"/>
      <c r="L14" s="84"/>
      <c r="M14" s="84"/>
      <c r="N14" s="84"/>
      <c r="O14" s="84"/>
    </row>
    <row r="15" spans="1:15" s="30" customFormat="1" ht="17.100000000000001" customHeight="1" x14ac:dyDescent="0.25">
      <c r="A15" s="159" t="s">
        <v>17</v>
      </c>
      <c r="B15" s="102">
        <v>19801</v>
      </c>
      <c r="C15" s="103">
        <v>2637</v>
      </c>
      <c r="D15" s="104">
        <v>6996</v>
      </c>
      <c r="E15" s="103">
        <v>8902</v>
      </c>
      <c r="F15" s="104">
        <v>3971</v>
      </c>
      <c r="G15" s="105">
        <v>7827</v>
      </c>
      <c r="H15" s="106">
        <f t="shared" si="2"/>
        <v>50134</v>
      </c>
      <c r="I15" s="121">
        <f t="shared" si="5"/>
        <v>1988.5022731293188</v>
      </c>
      <c r="K15" s="84"/>
      <c r="L15" s="84"/>
      <c r="M15" s="84"/>
      <c r="N15" s="84"/>
      <c r="O15" s="84"/>
    </row>
    <row r="16" spans="1:15" s="30" customFormat="1" ht="17.100000000000001" customHeight="1" x14ac:dyDescent="0.25">
      <c r="A16" s="159" t="s">
        <v>18</v>
      </c>
      <c r="B16" s="102">
        <v>0</v>
      </c>
      <c r="C16" s="103">
        <v>0</v>
      </c>
      <c r="D16" s="104">
        <v>1</v>
      </c>
      <c r="E16" s="103">
        <v>1</v>
      </c>
      <c r="F16" s="104">
        <v>0</v>
      </c>
      <c r="G16" s="105">
        <v>0</v>
      </c>
      <c r="H16" s="106">
        <f t="shared" si="2"/>
        <v>2</v>
      </c>
      <c r="I16" s="122">
        <f t="shared" si="5"/>
        <v>7.9327493243280756E-2</v>
      </c>
      <c r="K16" s="84"/>
      <c r="L16" s="84"/>
      <c r="M16" s="84"/>
      <c r="N16" s="84"/>
      <c r="O16" s="84"/>
    </row>
    <row r="17" spans="1:15" ht="17.100000000000001" customHeight="1" x14ac:dyDescent="0.25">
      <c r="A17" s="159" t="s">
        <v>19</v>
      </c>
      <c r="B17" s="102">
        <v>1</v>
      </c>
      <c r="C17" s="103">
        <v>0</v>
      </c>
      <c r="D17" s="104">
        <v>1</v>
      </c>
      <c r="E17" s="103">
        <v>0</v>
      </c>
      <c r="F17" s="104">
        <v>0</v>
      </c>
      <c r="G17" s="105">
        <v>0</v>
      </c>
      <c r="H17" s="106">
        <f>SUM(B17:G17)</f>
        <v>2</v>
      </c>
      <c r="I17" s="122">
        <f t="shared" si="5"/>
        <v>7.9327493243280756E-2</v>
      </c>
      <c r="J17" s="30"/>
      <c r="K17" s="84"/>
      <c r="L17" s="84"/>
      <c r="M17" s="84"/>
      <c r="N17" s="84"/>
      <c r="O17" s="84"/>
    </row>
    <row r="18" spans="1:15" s="37" customFormat="1" ht="17.100000000000001" customHeight="1" x14ac:dyDescent="0.25">
      <c r="A18" s="159" t="s">
        <v>58</v>
      </c>
      <c r="B18" s="115">
        <v>21</v>
      </c>
      <c r="C18" s="116">
        <v>5</v>
      </c>
      <c r="D18" s="117">
        <v>17</v>
      </c>
      <c r="E18" s="116">
        <v>11</v>
      </c>
      <c r="F18" s="117">
        <v>1</v>
      </c>
      <c r="G18" s="118">
        <v>1</v>
      </c>
      <c r="H18" s="119">
        <f>SUM(B18:G18)</f>
        <v>56</v>
      </c>
      <c r="I18" s="123">
        <f t="shared" si="5"/>
        <v>2.2211698108118614</v>
      </c>
      <c r="J18" s="30"/>
      <c r="K18" s="84"/>
      <c r="L18" s="84"/>
      <c r="M18" s="84"/>
      <c r="N18" s="84"/>
      <c r="O18" s="84"/>
    </row>
    <row r="19" spans="1:15" s="30" customFormat="1" ht="17.100000000000001" customHeight="1" x14ac:dyDescent="0.25">
      <c r="A19" s="162" t="s">
        <v>50</v>
      </c>
      <c r="B19" s="33">
        <f t="shared" ref="B19:G19" si="6">SUM(B20:B23)</f>
        <v>65</v>
      </c>
      <c r="C19" s="34">
        <f t="shared" si="6"/>
        <v>38</v>
      </c>
      <c r="D19" s="31">
        <f t="shared" si="6"/>
        <v>101</v>
      </c>
      <c r="E19" s="34">
        <f t="shared" si="6"/>
        <v>90</v>
      </c>
      <c r="F19" s="31">
        <f t="shared" si="6"/>
        <v>10</v>
      </c>
      <c r="G19" s="35">
        <f t="shared" si="6"/>
        <v>10</v>
      </c>
      <c r="H19" s="124">
        <f t="shared" si="2"/>
        <v>314</v>
      </c>
      <c r="I19" s="125">
        <f t="shared" si="5"/>
        <v>12.454416439195079</v>
      </c>
      <c r="K19" s="84"/>
      <c r="L19" s="84"/>
      <c r="M19" s="84"/>
      <c r="N19" s="84"/>
      <c r="O19" s="84"/>
    </row>
    <row r="20" spans="1:15" s="30" customFormat="1" ht="17.100000000000001" customHeight="1" x14ac:dyDescent="0.25">
      <c r="A20" s="159" t="s">
        <v>17</v>
      </c>
      <c r="B20" s="102">
        <v>51</v>
      </c>
      <c r="C20" s="103">
        <v>36</v>
      </c>
      <c r="D20" s="104">
        <v>89</v>
      </c>
      <c r="E20" s="103">
        <v>76</v>
      </c>
      <c r="F20" s="104">
        <v>10</v>
      </c>
      <c r="G20" s="105">
        <v>7</v>
      </c>
      <c r="H20" s="106">
        <f t="shared" si="2"/>
        <v>269</v>
      </c>
      <c r="I20" s="121">
        <f t="shared" si="5"/>
        <v>10.669547841221263</v>
      </c>
      <c r="K20" s="84"/>
      <c r="L20" s="84"/>
      <c r="M20" s="84"/>
      <c r="N20" s="84"/>
      <c r="O20" s="84"/>
    </row>
    <row r="21" spans="1:15" s="30" customFormat="1" ht="17.100000000000001" customHeight="1" x14ac:dyDescent="0.25">
      <c r="A21" s="159" t="s">
        <v>18</v>
      </c>
      <c r="B21" s="102">
        <v>1</v>
      </c>
      <c r="C21" s="103">
        <v>0</v>
      </c>
      <c r="D21" s="104">
        <v>1</v>
      </c>
      <c r="E21" s="103">
        <v>1</v>
      </c>
      <c r="F21" s="104">
        <v>0</v>
      </c>
      <c r="G21" s="105">
        <v>0</v>
      </c>
      <c r="H21" s="106">
        <f t="shared" si="2"/>
        <v>3</v>
      </c>
      <c r="I21" s="122">
        <f t="shared" si="5"/>
        <v>0.11899123986492115</v>
      </c>
      <c r="K21" s="84"/>
      <c r="L21" s="84"/>
      <c r="M21" s="84"/>
      <c r="N21" s="84"/>
      <c r="O21" s="84"/>
    </row>
    <row r="22" spans="1:15" s="30" customFormat="1" ht="17.100000000000001" customHeight="1" x14ac:dyDescent="0.25">
      <c r="A22" s="159" t="s">
        <v>19</v>
      </c>
      <c r="B22" s="102">
        <v>1</v>
      </c>
      <c r="C22" s="103">
        <v>1</v>
      </c>
      <c r="D22" s="104">
        <v>0</v>
      </c>
      <c r="E22" s="103">
        <v>2</v>
      </c>
      <c r="F22" s="104">
        <v>0</v>
      </c>
      <c r="G22" s="105">
        <v>0</v>
      </c>
      <c r="H22" s="106">
        <f t="shared" si="2"/>
        <v>4</v>
      </c>
      <c r="I22" s="122">
        <f t="shared" si="5"/>
        <v>0.15865498648656151</v>
      </c>
      <c r="K22" s="84"/>
      <c r="L22" s="84"/>
      <c r="M22" s="84"/>
      <c r="N22" s="84"/>
      <c r="O22" s="84"/>
    </row>
    <row r="23" spans="1:15" s="30" customFormat="1" ht="17.100000000000001" customHeight="1" x14ac:dyDescent="0.25">
      <c r="A23" s="159" t="s">
        <v>58</v>
      </c>
      <c r="B23" s="102">
        <v>12</v>
      </c>
      <c r="C23" s="103">
        <v>1</v>
      </c>
      <c r="D23" s="104">
        <v>11</v>
      </c>
      <c r="E23" s="103">
        <v>11</v>
      </c>
      <c r="F23" s="104">
        <v>0</v>
      </c>
      <c r="G23" s="105">
        <v>3</v>
      </c>
      <c r="H23" s="119">
        <f t="shared" si="2"/>
        <v>38</v>
      </c>
      <c r="I23" s="123">
        <f t="shared" si="5"/>
        <v>1.5072223716223345</v>
      </c>
      <c r="K23" s="84"/>
      <c r="L23" s="84"/>
      <c r="M23" s="84"/>
      <c r="N23" s="84"/>
      <c r="O23" s="84"/>
    </row>
    <row r="24" spans="1:15" s="30" customFormat="1" ht="17.100000000000001" customHeight="1" x14ac:dyDescent="0.25">
      <c r="A24" s="162" t="s">
        <v>51</v>
      </c>
      <c r="B24" s="33">
        <f t="shared" ref="B24:G24" si="7">SUM(B25:B28)</f>
        <v>591</v>
      </c>
      <c r="C24" s="34">
        <f t="shared" si="7"/>
        <v>245</v>
      </c>
      <c r="D24" s="31">
        <f t="shared" si="7"/>
        <v>568</v>
      </c>
      <c r="E24" s="34">
        <f t="shared" si="7"/>
        <v>414</v>
      </c>
      <c r="F24" s="31">
        <f t="shared" si="7"/>
        <v>98</v>
      </c>
      <c r="G24" s="35">
        <f t="shared" si="7"/>
        <v>47</v>
      </c>
      <c r="H24" s="124">
        <f t="shared" si="2"/>
        <v>1963</v>
      </c>
      <c r="I24" s="125">
        <f t="shared" si="5"/>
        <v>77.859934618280064</v>
      </c>
      <c r="K24" s="84"/>
      <c r="L24" s="84"/>
      <c r="M24" s="84"/>
      <c r="N24" s="84"/>
      <c r="O24" s="84"/>
    </row>
    <row r="25" spans="1:15" s="30" customFormat="1" ht="17.100000000000001" customHeight="1" x14ac:dyDescent="0.25">
      <c r="A25" s="159" t="s">
        <v>17</v>
      </c>
      <c r="B25" s="102">
        <v>587</v>
      </c>
      <c r="C25" s="103">
        <v>243</v>
      </c>
      <c r="D25" s="104">
        <v>563</v>
      </c>
      <c r="E25" s="103">
        <v>409</v>
      </c>
      <c r="F25" s="104">
        <v>97</v>
      </c>
      <c r="G25" s="105">
        <v>47</v>
      </c>
      <c r="H25" s="106">
        <f>SUM(B25:G25)</f>
        <v>1946</v>
      </c>
      <c r="I25" s="121">
        <f t="shared" si="5"/>
        <v>77.185650925712181</v>
      </c>
      <c r="K25" s="84"/>
      <c r="L25" s="84"/>
      <c r="M25" s="84"/>
      <c r="N25" s="84"/>
      <c r="O25" s="84"/>
    </row>
    <row r="26" spans="1:15" s="30" customFormat="1" ht="17.100000000000001" customHeight="1" x14ac:dyDescent="0.25">
      <c r="A26" s="159" t="s">
        <v>18</v>
      </c>
      <c r="B26" s="102">
        <v>0</v>
      </c>
      <c r="C26" s="103">
        <v>0</v>
      </c>
      <c r="D26" s="104">
        <v>0</v>
      </c>
      <c r="E26" s="103">
        <v>0</v>
      </c>
      <c r="F26" s="104">
        <v>0</v>
      </c>
      <c r="G26" s="105">
        <v>0</v>
      </c>
      <c r="H26" s="106">
        <f>SUM(B26:G26)</f>
        <v>0</v>
      </c>
      <c r="I26" s="121">
        <f t="shared" si="5"/>
        <v>0</v>
      </c>
      <c r="K26" s="84"/>
      <c r="L26" s="84"/>
      <c r="M26" s="84"/>
      <c r="N26" s="84"/>
      <c r="O26" s="84"/>
    </row>
    <row r="27" spans="1:15" s="30" customFormat="1" ht="17.100000000000001" customHeight="1" x14ac:dyDescent="0.25">
      <c r="A27" s="159" t="s">
        <v>19</v>
      </c>
      <c r="B27" s="102">
        <v>1</v>
      </c>
      <c r="C27" s="103">
        <v>2</v>
      </c>
      <c r="D27" s="104">
        <v>2</v>
      </c>
      <c r="E27" s="103">
        <v>3</v>
      </c>
      <c r="F27" s="104">
        <v>1</v>
      </c>
      <c r="G27" s="105">
        <v>0</v>
      </c>
      <c r="H27" s="106">
        <f>SUM(B27:G27)</f>
        <v>9</v>
      </c>
      <c r="I27" s="122">
        <f t="shared" si="5"/>
        <v>0.35697371959476343</v>
      </c>
      <c r="K27" s="84"/>
      <c r="L27" s="84"/>
      <c r="M27" s="84"/>
      <c r="N27" s="84"/>
      <c r="O27" s="84"/>
    </row>
    <row r="28" spans="1:15" s="30" customFormat="1" ht="17.100000000000001" customHeight="1" x14ac:dyDescent="0.25">
      <c r="A28" s="159" t="s">
        <v>58</v>
      </c>
      <c r="B28" s="127">
        <v>3</v>
      </c>
      <c r="C28" s="128">
        <v>0</v>
      </c>
      <c r="D28" s="129">
        <v>3</v>
      </c>
      <c r="E28" s="128">
        <v>2</v>
      </c>
      <c r="F28" s="129">
        <v>0</v>
      </c>
      <c r="G28" s="130">
        <v>0</v>
      </c>
      <c r="H28" s="131">
        <f t="shared" si="2"/>
        <v>8</v>
      </c>
      <c r="I28" s="132">
        <f t="shared" si="5"/>
        <v>0.31730997297312302</v>
      </c>
      <c r="J28" s="1"/>
      <c r="K28" s="84"/>
      <c r="L28" s="84"/>
      <c r="M28" s="84"/>
      <c r="N28" s="84"/>
      <c r="O28" s="84"/>
    </row>
    <row r="29" spans="1:15" s="37" customFormat="1" ht="17.100000000000001" customHeight="1" x14ac:dyDescent="0.25">
      <c r="A29" s="32" t="s">
        <v>52</v>
      </c>
      <c r="B29" s="33">
        <f t="shared" ref="B29:G29" si="8">SUM(B30:B33)</f>
        <v>48</v>
      </c>
      <c r="C29" s="34">
        <f t="shared" si="8"/>
        <v>138</v>
      </c>
      <c r="D29" s="31">
        <f t="shared" si="8"/>
        <v>145</v>
      </c>
      <c r="E29" s="34">
        <f t="shared" si="8"/>
        <v>36</v>
      </c>
      <c r="F29" s="31">
        <f t="shared" si="8"/>
        <v>3</v>
      </c>
      <c r="G29" s="35">
        <f t="shared" si="8"/>
        <v>2</v>
      </c>
      <c r="H29" s="36">
        <f t="shared" si="2"/>
        <v>372</v>
      </c>
      <c r="I29" s="75">
        <f t="shared" si="5"/>
        <v>14.754913743250222</v>
      </c>
      <c r="K29" s="84"/>
      <c r="L29" s="84"/>
      <c r="M29" s="84"/>
      <c r="N29" s="84"/>
      <c r="O29" s="84"/>
    </row>
    <row r="30" spans="1:15" s="30" customFormat="1" ht="17.100000000000001" customHeight="1" x14ac:dyDescent="0.25">
      <c r="A30" s="159" t="s">
        <v>17</v>
      </c>
      <c r="B30" s="102">
        <v>18</v>
      </c>
      <c r="C30" s="103">
        <v>44</v>
      </c>
      <c r="D30" s="104">
        <v>52</v>
      </c>
      <c r="E30" s="103">
        <v>15</v>
      </c>
      <c r="F30" s="104">
        <v>1</v>
      </c>
      <c r="G30" s="105">
        <v>1</v>
      </c>
      <c r="H30" s="106">
        <f t="shared" si="2"/>
        <v>131</v>
      </c>
      <c r="I30" s="121">
        <f t="shared" si="5"/>
        <v>5.1959508074348895</v>
      </c>
      <c r="K30" s="84"/>
      <c r="L30" s="84"/>
      <c r="M30" s="84"/>
      <c r="N30" s="84"/>
      <c r="O30" s="84"/>
    </row>
    <row r="31" spans="1:15" s="30" customFormat="1" ht="17.100000000000001" customHeight="1" x14ac:dyDescent="0.25">
      <c r="A31" s="159" t="s">
        <v>18</v>
      </c>
      <c r="B31" s="102">
        <v>0</v>
      </c>
      <c r="C31" s="103">
        <v>0</v>
      </c>
      <c r="D31" s="104">
        <v>1</v>
      </c>
      <c r="E31" s="103">
        <v>0</v>
      </c>
      <c r="F31" s="104">
        <v>0</v>
      </c>
      <c r="G31" s="105">
        <v>0</v>
      </c>
      <c r="H31" s="106">
        <f t="shared" si="2"/>
        <v>1</v>
      </c>
      <c r="I31" s="122">
        <f t="shared" si="5"/>
        <v>3.9663746621640378E-2</v>
      </c>
      <c r="K31" s="84"/>
      <c r="L31" s="84"/>
      <c r="M31" s="84"/>
      <c r="N31" s="84"/>
      <c r="O31" s="84"/>
    </row>
    <row r="32" spans="1:15" s="30" customFormat="1" ht="17.100000000000001" customHeight="1" x14ac:dyDescent="0.25">
      <c r="A32" s="159" t="s">
        <v>19</v>
      </c>
      <c r="B32" s="102">
        <v>20</v>
      </c>
      <c r="C32" s="103">
        <v>66</v>
      </c>
      <c r="D32" s="104">
        <v>73</v>
      </c>
      <c r="E32" s="103">
        <v>16</v>
      </c>
      <c r="F32" s="104">
        <v>1</v>
      </c>
      <c r="G32" s="105">
        <v>1</v>
      </c>
      <c r="H32" s="106">
        <f t="shared" si="2"/>
        <v>177</v>
      </c>
      <c r="I32" s="121">
        <f t="shared" si="5"/>
        <v>7.0204831520303479</v>
      </c>
      <c r="K32" s="84"/>
      <c r="L32" s="84"/>
      <c r="M32" s="84"/>
      <c r="N32" s="84"/>
      <c r="O32" s="84"/>
    </row>
    <row r="33" spans="1:15" s="30" customFormat="1" ht="17.100000000000001" customHeight="1" x14ac:dyDescent="0.25">
      <c r="A33" s="160" t="s">
        <v>58</v>
      </c>
      <c r="B33" s="102">
        <v>10</v>
      </c>
      <c r="C33" s="103">
        <v>28</v>
      </c>
      <c r="D33" s="104">
        <v>19</v>
      </c>
      <c r="E33" s="103">
        <v>5</v>
      </c>
      <c r="F33" s="104">
        <v>1</v>
      </c>
      <c r="G33" s="105">
        <v>0</v>
      </c>
      <c r="H33" s="106">
        <f t="shared" si="2"/>
        <v>63</v>
      </c>
      <c r="I33" s="121">
        <f t="shared" si="5"/>
        <v>2.4988160371633441</v>
      </c>
      <c r="K33" s="84"/>
      <c r="L33" s="84"/>
      <c r="M33" s="84"/>
      <c r="N33" s="84"/>
      <c r="O33" s="84"/>
    </row>
    <row r="34" spans="1:15" s="30" customFormat="1" ht="17.100000000000001" customHeight="1" x14ac:dyDescent="0.25">
      <c r="A34" s="39" t="s">
        <v>12</v>
      </c>
      <c r="B34" s="40">
        <v>11</v>
      </c>
      <c r="C34" s="41">
        <v>19</v>
      </c>
      <c r="D34" s="42">
        <v>108</v>
      </c>
      <c r="E34" s="41">
        <v>89</v>
      </c>
      <c r="F34" s="42">
        <v>22</v>
      </c>
      <c r="G34" s="43">
        <v>7</v>
      </c>
      <c r="H34" s="44">
        <f t="shared" si="2"/>
        <v>256</v>
      </c>
      <c r="I34" s="76">
        <f t="shared" si="5"/>
        <v>10.153919135139937</v>
      </c>
      <c r="J34" s="37"/>
      <c r="K34" s="84"/>
      <c r="L34" s="84"/>
      <c r="M34" s="84"/>
      <c r="N34" s="84"/>
      <c r="O34" s="84"/>
    </row>
    <row r="35" spans="1:15" s="30" customFormat="1" ht="17.100000000000001" customHeight="1" x14ac:dyDescent="0.25">
      <c r="A35" s="32" t="s">
        <v>53</v>
      </c>
      <c r="B35" s="33">
        <f>SUM(B36+B42+B43+B44)</f>
        <v>1952</v>
      </c>
      <c r="C35" s="34">
        <f t="shared" ref="C35:H35" si="9">SUM(C36+C42+C43+C44)</f>
        <v>3651</v>
      </c>
      <c r="D35" s="31">
        <f t="shared" si="9"/>
        <v>6009</v>
      </c>
      <c r="E35" s="34">
        <f t="shared" si="9"/>
        <v>3946</v>
      </c>
      <c r="F35" s="31">
        <f t="shared" si="9"/>
        <v>838</v>
      </c>
      <c r="G35" s="35">
        <f t="shared" si="9"/>
        <v>512</v>
      </c>
      <c r="H35" s="36">
        <f t="shared" si="9"/>
        <v>16908</v>
      </c>
      <c r="I35" s="75">
        <f t="shared" si="5"/>
        <v>670.6346278786956</v>
      </c>
      <c r="J35" s="37"/>
      <c r="K35" s="84"/>
      <c r="L35" s="84"/>
      <c r="M35" s="84"/>
      <c r="N35" s="84"/>
      <c r="O35" s="84"/>
    </row>
    <row r="36" spans="1:15" s="30" customFormat="1" ht="17.100000000000001" customHeight="1" x14ac:dyDescent="0.25">
      <c r="A36" s="159" t="s">
        <v>17</v>
      </c>
      <c r="B36" s="102">
        <f t="shared" ref="B36:G36" si="10">SUM(B37:B41)</f>
        <v>1950</v>
      </c>
      <c r="C36" s="103">
        <f t="shared" si="10"/>
        <v>3648</v>
      </c>
      <c r="D36" s="104">
        <f t="shared" si="10"/>
        <v>6004</v>
      </c>
      <c r="E36" s="103">
        <f t="shared" si="10"/>
        <v>3945</v>
      </c>
      <c r="F36" s="104">
        <f t="shared" si="10"/>
        <v>838</v>
      </c>
      <c r="G36" s="105">
        <f t="shared" si="10"/>
        <v>511</v>
      </c>
      <c r="H36" s="106">
        <f t="shared" si="2"/>
        <v>16896</v>
      </c>
      <c r="I36" s="121">
        <f t="shared" si="5"/>
        <v>670.15866291923589</v>
      </c>
      <c r="K36" s="84"/>
      <c r="L36" s="84"/>
      <c r="M36" s="84"/>
      <c r="N36" s="84"/>
      <c r="O36" s="84"/>
    </row>
    <row r="37" spans="1:15" s="30" customFormat="1" ht="17.100000000000001" customHeight="1" x14ac:dyDescent="0.25">
      <c r="A37" s="159" t="s">
        <v>24</v>
      </c>
      <c r="B37" s="102">
        <v>1438</v>
      </c>
      <c r="C37" s="103">
        <v>2794</v>
      </c>
      <c r="D37" s="104">
        <v>4426</v>
      </c>
      <c r="E37" s="103">
        <v>2864</v>
      </c>
      <c r="F37" s="104">
        <v>634</v>
      </c>
      <c r="G37" s="105">
        <v>372</v>
      </c>
      <c r="H37" s="106">
        <f t="shared" si="2"/>
        <v>12528</v>
      </c>
      <c r="I37" s="121">
        <f t="shared" si="5"/>
        <v>496.90741767591066</v>
      </c>
      <c r="K37" s="84"/>
      <c r="L37" s="84"/>
      <c r="M37" s="84"/>
      <c r="N37" s="84"/>
      <c r="O37" s="84"/>
    </row>
    <row r="38" spans="1:15" s="30" customFormat="1" ht="17.100000000000001" customHeight="1" x14ac:dyDescent="0.25">
      <c r="A38" s="159" t="s">
        <v>25</v>
      </c>
      <c r="B38" s="102">
        <v>52</v>
      </c>
      <c r="C38" s="103">
        <v>222</v>
      </c>
      <c r="D38" s="104">
        <v>343</v>
      </c>
      <c r="E38" s="103">
        <v>141</v>
      </c>
      <c r="F38" s="104">
        <v>16</v>
      </c>
      <c r="G38" s="105">
        <v>4</v>
      </c>
      <c r="H38" s="106">
        <f t="shared" si="2"/>
        <v>778</v>
      </c>
      <c r="I38" s="121">
        <f t="shared" si="5"/>
        <v>30.858394871636218</v>
      </c>
      <c r="K38" s="84"/>
      <c r="L38" s="84"/>
      <c r="M38" s="84"/>
      <c r="N38" s="84"/>
      <c r="O38" s="84"/>
    </row>
    <row r="39" spans="1:15" s="30" customFormat="1" ht="17.100000000000001" customHeight="1" x14ac:dyDescent="0.25">
      <c r="A39" s="159" t="s">
        <v>26</v>
      </c>
      <c r="B39" s="102">
        <v>68</v>
      </c>
      <c r="C39" s="103">
        <v>75</v>
      </c>
      <c r="D39" s="104">
        <v>154</v>
      </c>
      <c r="E39" s="103">
        <v>151</v>
      </c>
      <c r="F39" s="104">
        <v>15</v>
      </c>
      <c r="G39" s="105">
        <v>3</v>
      </c>
      <c r="H39" s="106">
        <f t="shared" si="2"/>
        <v>466</v>
      </c>
      <c r="I39" s="121">
        <f t="shared" si="5"/>
        <v>18.483305925684416</v>
      </c>
      <c r="K39" s="84"/>
      <c r="L39" s="84"/>
      <c r="M39" s="84"/>
      <c r="N39" s="84"/>
      <c r="O39" s="84"/>
    </row>
    <row r="40" spans="1:15" s="30" customFormat="1" ht="17.100000000000001" customHeight="1" x14ac:dyDescent="0.25">
      <c r="A40" s="159" t="s">
        <v>27</v>
      </c>
      <c r="B40" s="102">
        <v>215</v>
      </c>
      <c r="C40" s="103">
        <v>162</v>
      </c>
      <c r="D40" s="104">
        <v>268</v>
      </c>
      <c r="E40" s="103">
        <v>259</v>
      </c>
      <c r="F40" s="104">
        <v>60</v>
      </c>
      <c r="G40" s="105">
        <v>38</v>
      </c>
      <c r="H40" s="106">
        <f t="shared" si="2"/>
        <v>1002</v>
      </c>
      <c r="I40" s="121">
        <f t="shared" si="5"/>
        <v>39.743074114883662</v>
      </c>
      <c r="K40" s="84"/>
      <c r="L40" s="84"/>
      <c r="M40" s="84"/>
      <c r="N40" s="84"/>
      <c r="O40" s="84"/>
    </row>
    <row r="41" spans="1:15" s="30" customFormat="1" ht="17.100000000000001" customHeight="1" x14ac:dyDescent="0.25">
      <c r="A41" s="159" t="s">
        <v>28</v>
      </c>
      <c r="B41" s="102">
        <v>177</v>
      </c>
      <c r="C41" s="103">
        <v>395</v>
      </c>
      <c r="D41" s="104">
        <v>813</v>
      </c>
      <c r="E41" s="103">
        <v>530</v>
      </c>
      <c r="F41" s="104">
        <v>113</v>
      </c>
      <c r="G41" s="105">
        <v>94</v>
      </c>
      <c r="H41" s="106">
        <f t="shared" si="2"/>
        <v>2122</v>
      </c>
      <c r="I41" s="121">
        <f t="shared" si="5"/>
        <v>84.166470331120891</v>
      </c>
      <c r="K41" s="84"/>
      <c r="L41" s="84"/>
      <c r="M41" s="84"/>
      <c r="N41" s="84"/>
      <c r="O41" s="84"/>
    </row>
    <row r="42" spans="1:15" ht="17.100000000000001" customHeight="1" x14ac:dyDescent="0.25">
      <c r="A42" s="159" t="s">
        <v>18</v>
      </c>
      <c r="B42" s="102">
        <v>0</v>
      </c>
      <c r="C42" s="103">
        <v>0</v>
      </c>
      <c r="D42" s="104">
        <v>1</v>
      </c>
      <c r="E42" s="103">
        <v>0</v>
      </c>
      <c r="F42" s="104">
        <v>0</v>
      </c>
      <c r="G42" s="105">
        <v>0</v>
      </c>
      <c r="H42" s="106">
        <f t="shared" si="2"/>
        <v>1</v>
      </c>
      <c r="I42" s="122">
        <f t="shared" si="5"/>
        <v>3.9663746621640378E-2</v>
      </c>
      <c r="J42" s="30"/>
      <c r="K42" s="84"/>
      <c r="L42" s="84"/>
      <c r="M42" s="84"/>
      <c r="N42" s="84"/>
      <c r="O42" s="84"/>
    </row>
    <row r="43" spans="1:15" ht="17.100000000000001" customHeight="1" x14ac:dyDescent="0.25">
      <c r="A43" s="159" t="s">
        <v>19</v>
      </c>
      <c r="B43" s="133">
        <v>0</v>
      </c>
      <c r="C43" s="134">
        <v>2</v>
      </c>
      <c r="D43" s="135">
        <v>4</v>
      </c>
      <c r="E43" s="134">
        <v>0</v>
      </c>
      <c r="F43" s="135">
        <v>0</v>
      </c>
      <c r="G43" s="136">
        <v>0</v>
      </c>
      <c r="H43" s="106">
        <f>SUM(B43:G43)</f>
        <v>6</v>
      </c>
      <c r="I43" s="122">
        <f t="shared" si="5"/>
        <v>0.23798247972984229</v>
      </c>
      <c r="J43" s="30"/>
      <c r="K43" s="84"/>
      <c r="L43" s="84"/>
      <c r="M43" s="84"/>
      <c r="N43" s="84"/>
      <c r="O43" s="84"/>
    </row>
    <row r="44" spans="1:15" ht="17.100000000000001" customHeight="1" x14ac:dyDescent="0.25">
      <c r="A44" s="159" t="s">
        <v>58</v>
      </c>
      <c r="B44" s="137">
        <v>2</v>
      </c>
      <c r="C44" s="138">
        <v>1</v>
      </c>
      <c r="D44" s="139">
        <v>0</v>
      </c>
      <c r="E44" s="138">
        <v>1</v>
      </c>
      <c r="F44" s="139">
        <v>0</v>
      </c>
      <c r="G44" s="140">
        <v>1</v>
      </c>
      <c r="H44" s="141">
        <f>SUM(B44:G44)</f>
        <v>5</v>
      </c>
      <c r="I44" s="152">
        <f t="shared" si="5"/>
        <v>0.19831873310820192</v>
      </c>
      <c r="K44" s="84"/>
      <c r="L44" s="84"/>
      <c r="M44" s="84"/>
      <c r="N44" s="84"/>
      <c r="O44" s="84"/>
    </row>
    <row r="45" spans="1:15" s="37" customFormat="1" ht="17.100000000000001" customHeight="1" x14ac:dyDescent="0.25">
      <c r="A45" s="39" t="s">
        <v>32</v>
      </c>
      <c r="B45" s="40">
        <v>647</v>
      </c>
      <c r="C45" s="41">
        <v>178</v>
      </c>
      <c r="D45" s="42">
        <v>455</v>
      </c>
      <c r="E45" s="41">
        <v>314</v>
      </c>
      <c r="F45" s="42">
        <v>50</v>
      </c>
      <c r="G45" s="43">
        <v>19</v>
      </c>
      <c r="H45" s="44">
        <f t="shared" si="2"/>
        <v>1663</v>
      </c>
      <c r="I45" s="76">
        <f t="shared" si="5"/>
        <v>65.96081063178795</v>
      </c>
      <c r="K45" s="84"/>
      <c r="L45" s="84"/>
      <c r="M45" s="84"/>
      <c r="N45" s="84"/>
      <c r="O45" s="84"/>
    </row>
    <row r="46" spans="1:15" s="30" customFormat="1" ht="17.100000000000001" customHeight="1" x14ac:dyDescent="0.25">
      <c r="A46" s="39" t="s">
        <v>33</v>
      </c>
      <c r="B46" s="40">
        <v>14</v>
      </c>
      <c r="C46" s="41">
        <v>9</v>
      </c>
      <c r="D46" s="42">
        <v>13</v>
      </c>
      <c r="E46" s="41">
        <v>17</v>
      </c>
      <c r="F46" s="42">
        <v>6</v>
      </c>
      <c r="G46" s="43">
        <v>4</v>
      </c>
      <c r="H46" s="44">
        <f t="shared" si="2"/>
        <v>63</v>
      </c>
      <c r="I46" s="76">
        <f t="shared" ref="I46:I70" si="11">H46/B$71 * 100000</f>
        <v>2.4988160371633441</v>
      </c>
      <c r="J46" s="37"/>
      <c r="K46" s="84"/>
      <c r="L46" s="84"/>
      <c r="M46" s="84"/>
      <c r="N46" s="84"/>
      <c r="O46" s="84"/>
    </row>
    <row r="47" spans="1:15" s="30" customFormat="1" ht="17.100000000000001" customHeight="1" x14ac:dyDescent="0.25">
      <c r="A47" s="32" t="s">
        <v>47</v>
      </c>
      <c r="B47" s="33">
        <f t="shared" ref="B47:G47" si="12">SUM(B48:B51)</f>
        <v>127</v>
      </c>
      <c r="C47" s="34">
        <f t="shared" si="12"/>
        <v>130</v>
      </c>
      <c r="D47" s="31">
        <f t="shared" si="12"/>
        <v>177</v>
      </c>
      <c r="E47" s="34">
        <f t="shared" si="12"/>
        <v>107</v>
      </c>
      <c r="F47" s="31">
        <f t="shared" si="12"/>
        <v>9</v>
      </c>
      <c r="G47" s="35">
        <f t="shared" si="12"/>
        <v>8</v>
      </c>
      <c r="H47" s="36">
        <f t="shared" si="2"/>
        <v>558</v>
      </c>
      <c r="I47" s="75">
        <f t="shared" si="11"/>
        <v>22.132370614875331</v>
      </c>
      <c r="J47" s="37"/>
      <c r="K47" s="84"/>
      <c r="L47" s="84"/>
      <c r="M47" s="84"/>
      <c r="N47" s="84"/>
      <c r="O47" s="84"/>
    </row>
    <row r="48" spans="1:15" s="30" customFormat="1" ht="17.100000000000001" customHeight="1" x14ac:dyDescent="0.25">
      <c r="A48" s="159" t="s">
        <v>17</v>
      </c>
      <c r="B48" s="102">
        <v>127</v>
      </c>
      <c r="C48" s="103">
        <v>129</v>
      </c>
      <c r="D48" s="104">
        <v>177</v>
      </c>
      <c r="E48" s="103">
        <v>107</v>
      </c>
      <c r="F48" s="104">
        <v>9</v>
      </c>
      <c r="G48" s="105">
        <v>8</v>
      </c>
      <c r="H48" s="106">
        <f t="shared" si="2"/>
        <v>557</v>
      </c>
      <c r="I48" s="121">
        <f t="shared" si="11"/>
        <v>22.092706868253693</v>
      </c>
      <c r="K48" s="84"/>
      <c r="L48" s="84"/>
      <c r="M48" s="84"/>
      <c r="N48" s="84"/>
      <c r="O48" s="84"/>
    </row>
    <row r="49" spans="1:16" s="30" customFormat="1" ht="17.100000000000001" customHeight="1" x14ac:dyDescent="0.25">
      <c r="A49" s="160" t="s">
        <v>18</v>
      </c>
      <c r="B49" s="108">
        <v>0</v>
      </c>
      <c r="C49" s="109">
        <v>0</v>
      </c>
      <c r="D49" s="110">
        <v>0</v>
      </c>
      <c r="E49" s="109">
        <v>0</v>
      </c>
      <c r="F49" s="110">
        <v>0</v>
      </c>
      <c r="G49" s="111">
        <v>0</v>
      </c>
      <c r="H49" s="112">
        <f t="shared" si="2"/>
        <v>0</v>
      </c>
      <c r="I49" s="143">
        <f t="shared" si="11"/>
        <v>0</v>
      </c>
      <c r="J49" s="1"/>
      <c r="K49" s="84"/>
      <c r="L49" s="84"/>
      <c r="M49" s="84"/>
      <c r="N49" s="84"/>
      <c r="O49" s="84"/>
    </row>
    <row r="50" spans="1:16" s="30" customFormat="1" ht="17.100000000000001" customHeight="1" x14ac:dyDescent="0.25">
      <c r="A50" s="159" t="s">
        <v>19</v>
      </c>
      <c r="B50" s="108">
        <v>0</v>
      </c>
      <c r="C50" s="109">
        <v>0</v>
      </c>
      <c r="D50" s="110">
        <v>0</v>
      </c>
      <c r="E50" s="109">
        <v>0</v>
      </c>
      <c r="F50" s="110">
        <v>0</v>
      </c>
      <c r="G50" s="111">
        <v>0</v>
      </c>
      <c r="H50" s="112">
        <f t="shared" si="2"/>
        <v>0</v>
      </c>
      <c r="I50" s="143">
        <f t="shared" si="11"/>
        <v>0</v>
      </c>
      <c r="J50" s="1"/>
      <c r="K50" s="84"/>
      <c r="L50" s="84"/>
      <c r="M50" s="84"/>
      <c r="N50" s="84"/>
      <c r="O50" s="84"/>
    </row>
    <row r="51" spans="1:16" s="37" customFormat="1" ht="17.100000000000001" customHeight="1" x14ac:dyDescent="0.25">
      <c r="A51" s="159" t="s">
        <v>58</v>
      </c>
      <c r="B51" s="144">
        <v>0</v>
      </c>
      <c r="C51" s="116">
        <v>1</v>
      </c>
      <c r="D51" s="116">
        <v>0</v>
      </c>
      <c r="E51" s="116">
        <v>0</v>
      </c>
      <c r="F51" s="116">
        <v>0</v>
      </c>
      <c r="G51" s="118">
        <v>0</v>
      </c>
      <c r="H51" s="119">
        <f t="shared" si="2"/>
        <v>1</v>
      </c>
      <c r="I51" s="126">
        <f t="shared" si="11"/>
        <v>3.9663746621640378E-2</v>
      </c>
      <c r="J51" s="1"/>
      <c r="K51" s="84"/>
      <c r="L51" s="84"/>
      <c r="M51" s="84"/>
      <c r="N51" s="84"/>
      <c r="O51" s="84"/>
    </row>
    <row r="52" spans="1:16" s="37" customFormat="1" ht="17.100000000000001" customHeight="1" x14ac:dyDescent="0.25">
      <c r="A52" s="45" t="s">
        <v>46</v>
      </c>
      <c r="B52" s="46">
        <f t="shared" ref="B52:G52" si="13">SUM(B53:B54)</f>
        <v>3873</v>
      </c>
      <c r="C52" s="46">
        <f t="shared" si="13"/>
        <v>715</v>
      </c>
      <c r="D52" s="46">
        <f t="shared" si="13"/>
        <v>1419</v>
      </c>
      <c r="E52" s="46">
        <f t="shared" si="13"/>
        <v>1161</v>
      </c>
      <c r="F52" s="46">
        <f t="shared" si="13"/>
        <v>337</v>
      </c>
      <c r="G52" s="46">
        <f t="shared" si="13"/>
        <v>234</v>
      </c>
      <c r="H52" s="50">
        <f>SUM(B52:G52)</f>
        <v>7739</v>
      </c>
      <c r="I52" s="61">
        <f t="shared" si="11"/>
        <v>306.95773510487493</v>
      </c>
      <c r="K52" s="84"/>
      <c r="L52" s="84"/>
      <c r="M52" s="84"/>
      <c r="N52" s="84"/>
      <c r="O52" s="84"/>
    </row>
    <row r="53" spans="1:16" s="30" customFormat="1" ht="17.100000000000001" customHeight="1" x14ac:dyDescent="0.25">
      <c r="A53" s="159" t="s">
        <v>30</v>
      </c>
      <c r="B53" s="78">
        <v>3778</v>
      </c>
      <c r="C53" s="79">
        <v>683</v>
      </c>
      <c r="D53" s="80">
        <v>1327</v>
      </c>
      <c r="E53" s="79">
        <v>1076</v>
      </c>
      <c r="F53" s="80">
        <v>306</v>
      </c>
      <c r="G53" s="81">
        <v>217</v>
      </c>
      <c r="H53" s="82">
        <f>SUM(B53:G53)</f>
        <v>7387</v>
      </c>
      <c r="I53" s="83">
        <f t="shared" si="11"/>
        <v>292.99609629405751</v>
      </c>
      <c r="J53" s="37"/>
      <c r="K53" s="84"/>
      <c r="L53" s="84"/>
      <c r="M53" s="84"/>
      <c r="N53" s="84"/>
      <c r="O53" s="84"/>
    </row>
    <row r="54" spans="1:16" s="30" customFormat="1" ht="17.100000000000001" customHeight="1" x14ac:dyDescent="0.25">
      <c r="A54" s="159" t="s">
        <v>31</v>
      </c>
      <c r="B54" s="78">
        <v>95</v>
      </c>
      <c r="C54" s="79">
        <v>32</v>
      </c>
      <c r="D54" s="80">
        <v>92</v>
      </c>
      <c r="E54" s="79">
        <v>85</v>
      </c>
      <c r="F54" s="80">
        <v>31</v>
      </c>
      <c r="G54" s="81">
        <v>17</v>
      </c>
      <c r="H54" s="82">
        <f>SUM(B54:G54)</f>
        <v>352</v>
      </c>
      <c r="I54" s="83">
        <f t="shared" si="11"/>
        <v>13.961638810817414</v>
      </c>
      <c r="J54" s="37"/>
      <c r="K54" s="84"/>
      <c r="L54" s="84"/>
      <c r="M54" s="84"/>
      <c r="N54" s="84"/>
      <c r="O54" s="84"/>
    </row>
    <row r="55" spans="1:16" s="30" customFormat="1" ht="17.100000000000001" customHeight="1" x14ac:dyDescent="0.25">
      <c r="A55" s="39" t="s">
        <v>11</v>
      </c>
      <c r="B55" s="40">
        <v>4234</v>
      </c>
      <c r="C55" s="41">
        <v>1663</v>
      </c>
      <c r="D55" s="42">
        <v>4272</v>
      </c>
      <c r="E55" s="41">
        <v>2767</v>
      </c>
      <c r="F55" s="42">
        <v>549</v>
      </c>
      <c r="G55" s="43">
        <v>343</v>
      </c>
      <c r="H55" s="44">
        <f>SUM(B55:G55)</f>
        <v>13828</v>
      </c>
      <c r="I55" s="76">
        <f t="shared" si="11"/>
        <v>548.47028828404325</v>
      </c>
      <c r="J55" s="37"/>
      <c r="K55" s="84"/>
      <c r="L55" s="84"/>
      <c r="M55" s="84"/>
      <c r="N55" s="84"/>
      <c r="O55" s="84"/>
    </row>
    <row r="56" spans="1:16" s="30" customFormat="1" ht="17.100000000000001" customHeight="1" x14ac:dyDescent="0.25">
      <c r="A56" s="32" t="s">
        <v>45</v>
      </c>
      <c r="B56" s="33">
        <f t="shared" ref="B56:G56" si="14">SUM(B57:B60)</f>
        <v>951</v>
      </c>
      <c r="C56" s="33">
        <f t="shared" si="14"/>
        <v>359</v>
      </c>
      <c r="D56" s="33">
        <f t="shared" si="14"/>
        <v>651</v>
      </c>
      <c r="E56" s="33">
        <f t="shared" si="14"/>
        <v>494</v>
      </c>
      <c r="F56" s="33">
        <f t="shared" si="14"/>
        <v>101</v>
      </c>
      <c r="G56" s="33">
        <f t="shared" si="14"/>
        <v>94</v>
      </c>
      <c r="H56" s="44">
        <f>SUM(B56:G56)</f>
        <v>2650</v>
      </c>
      <c r="I56" s="75">
        <f t="shared" si="11"/>
        <v>105.10892854734701</v>
      </c>
      <c r="J56" s="37"/>
      <c r="K56" s="84"/>
      <c r="L56" s="84"/>
      <c r="M56" s="84"/>
      <c r="N56" s="84"/>
      <c r="O56" s="84"/>
    </row>
    <row r="57" spans="1:16" s="30" customFormat="1" ht="17.100000000000001" customHeight="1" x14ac:dyDescent="0.25">
      <c r="A57" s="159" t="s">
        <v>1</v>
      </c>
      <c r="B57" s="145">
        <v>695</v>
      </c>
      <c r="C57" s="146">
        <v>129</v>
      </c>
      <c r="D57" s="147">
        <v>226</v>
      </c>
      <c r="E57" s="148">
        <v>221</v>
      </c>
      <c r="F57" s="147">
        <v>77</v>
      </c>
      <c r="G57" s="149">
        <v>72</v>
      </c>
      <c r="H57" s="106">
        <f t="shared" si="2"/>
        <v>1420</v>
      </c>
      <c r="I57" s="121">
        <f t="shared" si="11"/>
        <v>56.322520202729343</v>
      </c>
      <c r="K57" s="88"/>
      <c r="L57" s="88"/>
      <c r="M57" s="88"/>
      <c r="N57" s="88"/>
      <c r="O57" s="88"/>
      <c r="P57" s="95"/>
    </row>
    <row r="58" spans="1:16" s="30" customFormat="1" ht="17.100000000000001" customHeight="1" x14ac:dyDescent="0.25">
      <c r="A58" s="159" t="s">
        <v>22</v>
      </c>
      <c r="B58" s="102">
        <v>134</v>
      </c>
      <c r="C58" s="103">
        <v>122</v>
      </c>
      <c r="D58" s="104">
        <v>238</v>
      </c>
      <c r="E58" s="103">
        <v>129</v>
      </c>
      <c r="F58" s="104">
        <v>12</v>
      </c>
      <c r="G58" s="105">
        <v>7</v>
      </c>
      <c r="H58" s="106">
        <f t="shared" si="2"/>
        <v>642</v>
      </c>
      <c r="I58" s="121">
        <f t="shared" si="11"/>
        <v>25.464125331093125</v>
      </c>
      <c r="K58" s="88"/>
      <c r="L58" s="88"/>
      <c r="M58" s="88"/>
      <c r="N58" s="88"/>
      <c r="O58" s="88"/>
      <c r="P58" s="95"/>
    </row>
    <row r="59" spans="1:16" ht="17.100000000000001" customHeight="1" x14ac:dyDescent="0.25">
      <c r="A59" s="159" t="s">
        <v>23</v>
      </c>
      <c r="B59" s="102">
        <v>0</v>
      </c>
      <c r="C59" s="103">
        <v>1</v>
      </c>
      <c r="D59" s="104">
        <v>3</v>
      </c>
      <c r="E59" s="103">
        <v>0</v>
      </c>
      <c r="F59" s="104">
        <v>1</v>
      </c>
      <c r="G59" s="105">
        <v>0</v>
      </c>
      <c r="H59" s="106">
        <f>SUM(B59:G59)</f>
        <v>5</v>
      </c>
      <c r="I59" s="122">
        <f t="shared" si="11"/>
        <v>0.19831873310820192</v>
      </c>
      <c r="J59" s="30"/>
      <c r="K59" s="88"/>
      <c r="L59" s="88"/>
      <c r="M59" s="88"/>
      <c r="N59" s="88"/>
      <c r="O59" s="88"/>
      <c r="P59" s="19"/>
    </row>
    <row r="60" spans="1:16" s="37" customFormat="1" ht="17.100000000000001" customHeight="1" x14ac:dyDescent="0.25">
      <c r="A60" s="159" t="s">
        <v>59</v>
      </c>
      <c r="B60" s="145">
        <v>122</v>
      </c>
      <c r="C60" s="148">
        <v>107</v>
      </c>
      <c r="D60" s="147">
        <v>184</v>
      </c>
      <c r="E60" s="148">
        <v>144</v>
      </c>
      <c r="F60" s="147">
        <v>11</v>
      </c>
      <c r="G60" s="149">
        <v>15</v>
      </c>
      <c r="H60" s="106">
        <f t="shared" si="2"/>
        <v>583</v>
      </c>
      <c r="I60" s="121">
        <f t="shared" si="11"/>
        <v>23.123964280416342</v>
      </c>
      <c r="J60" s="30"/>
      <c r="K60" s="88"/>
      <c r="L60" s="88"/>
      <c r="M60" s="88"/>
      <c r="N60" s="88"/>
      <c r="O60" s="88"/>
      <c r="P60" s="96"/>
    </row>
    <row r="61" spans="1:16" ht="17.100000000000001" customHeight="1" x14ac:dyDescent="0.25">
      <c r="A61" s="32" t="s">
        <v>42</v>
      </c>
      <c r="B61" s="33">
        <f t="shared" ref="B61:G61" si="15">SUM(B62:B65)</f>
        <v>9711</v>
      </c>
      <c r="C61" s="34">
        <f t="shared" si="15"/>
        <v>3043</v>
      </c>
      <c r="D61" s="31">
        <f t="shared" si="15"/>
        <v>5345</v>
      </c>
      <c r="E61" s="34">
        <f t="shared" si="15"/>
        <v>2941</v>
      </c>
      <c r="F61" s="31">
        <f t="shared" si="15"/>
        <v>560</v>
      </c>
      <c r="G61" s="35">
        <f t="shared" si="15"/>
        <v>530</v>
      </c>
      <c r="H61" s="36">
        <f t="shared" si="2"/>
        <v>22130</v>
      </c>
      <c r="I61" s="75">
        <f t="shared" si="11"/>
        <v>877.75871273690166</v>
      </c>
      <c r="J61" s="37"/>
      <c r="K61" s="89"/>
      <c r="L61" s="89"/>
      <c r="M61" s="89"/>
      <c r="N61" s="89"/>
      <c r="O61" s="89"/>
      <c r="P61" s="19"/>
    </row>
    <row r="62" spans="1:16" s="37" customFormat="1" ht="17.100000000000001" customHeight="1" x14ac:dyDescent="0.25">
      <c r="A62" s="159" t="s">
        <v>1</v>
      </c>
      <c r="B62" s="145">
        <v>9164</v>
      </c>
      <c r="C62" s="148">
        <v>2218</v>
      </c>
      <c r="D62" s="147">
        <v>3987</v>
      </c>
      <c r="E62" s="148">
        <v>2383</v>
      </c>
      <c r="F62" s="147">
        <v>520</v>
      </c>
      <c r="G62" s="149">
        <v>512</v>
      </c>
      <c r="H62" s="106">
        <f t="shared" si="2"/>
        <v>18784</v>
      </c>
      <c r="I62" s="121">
        <f t="shared" si="11"/>
        <v>745.04381654089286</v>
      </c>
      <c r="J62" s="30"/>
    </row>
    <row r="63" spans="1:16" s="30" customFormat="1" ht="17.100000000000001" customHeight="1" x14ac:dyDescent="0.25">
      <c r="A63" s="159" t="s">
        <v>22</v>
      </c>
      <c r="B63" s="102">
        <v>0</v>
      </c>
      <c r="C63" s="103">
        <v>0</v>
      </c>
      <c r="D63" s="104">
        <v>0</v>
      </c>
      <c r="E63" s="103">
        <v>0</v>
      </c>
      <c r="F63" s="104">
        <v>0</v>
      </c>
      <c r="G63" s="105">
        <v>0</v>
      </c>
      <c r="H63" s="106">
        <f t="shared" si="2"/>
        <v>0</v>
      </c>
      <c r="I63" s="121">
        <f t="shared" si="11"/>
        <v>0</v>
      </c>
    </row>
    <row r="64" spans="1:16" s="30" customFormat="1" ht="17.100000000000001" customHeight="1" x14ac:dyDescent="0.25">
      <c r="A64" s="159" t="s">
        <v>23</v>
      </c>
      <c r="B64" s="145">
        <v>487</v>
      </c>
      <c r="C64" s="148">
        <v>746</v>
      </c>
      <c r="D64" s="147">
        <v>1256</v>
      </c>
      <c r="E64" s="148">
        <v>505</v>
      </c>
      <c r="F64" s="147">
        <v>38</v>
      </c>
      <c r="G64" s="149">
        <v>18</v>
      </c>
      <c r="H64" s="131">
        <f>SUM(B64:G64)</f>
        <v>3050</v>
      </c>
      <c r="I64" s="150">
        <f t="shared" si="11"/>
        <v>120.97442719600315</v>
      </c>
    </row>
    <row r="65" spans="1:15" s="37" customFormat="1" ht="17.100000000000001" customHeight="1" x14ac:dyDescent="0.25">
      <c r="A65" s="159" t="s">
        <v>59</v>
      </c>
      <c r="B65" s="145">
        <v>60</v>
      </c>
      <c r="C65" s="148">
        <v>79</v>
      </c>
      <c r="D65" s="147">
        <v>102</v>
      </c>
      <c r="E65" s="148">
        <v>53</v>
      </c>
      <c r="F65" s="147">
        <v>2</v>
      </c>
      <c r="G65" s="149">
        <v>0</v>
      </c>
      <c r="H65" s="106">
        <f t="shared" si="2"/>
        <v>296</v>
      </c>
      <c r="I65" s="121">
        <f t="shared" si="11"/>
        <v>11.740469000005554</v>
      </c>
      <c r="J65" s="30"/>
    </row>
    <row r="66" spans="1:15" s="30" customFormat="1" ht="17.100000000000001" customHeight="1" x14ac:dyDescent="0.25">
      <c r="A66" s="32" t="s">
        <v>41</v>
      </c>
      <c r="B66" s="33">
        <f t="shared" ref="B66:G66" si="16">SUM(B67:B70)</f>
        <v>10</v>
      </c>
      <c r="C66" s="34">
        <f t="shared" si="16"/>
        <v>8</v>
      </c>
      <c r="D66" s="31">
        <f t="shared" si="16"/>
        <v>15</v>
      </c>
      <c r="E66" s="34">
        <f t="shared" si="16"/>
        <v>8</v>
      </c>
      <c r="F66" s="31">
        <f t="shared" si="16"/>
        <v>0</v>
      </c>
      <c r="G66" s="35">
        <f t="shared" si="16"/>
        <v>4</v>
      </c>
      <c r="H66" s="36">
        <f t="shared" si="2"/>
        <v>45</v>
      </c>
      <c r="I66" s="75">
        <f t="shared" si="11"/>
        <v>1.784868597973817</v>
      </c>
      <c r="J66" s="37"/>
      <c r="K66" s="84"/>
      <c r="L66" s="84"/>
      <c r="M66" s="84"/>
      <c r="N66" s="84"/>
      <c r="O66" s="84"/>
    </row>
    <row r="67" spans="1:15" s="30" customFormat="1" ht="17.100000000000001" customHeight="1" x14ac:dyDescent="0.25">
      <c r="A67" s="159" t="s">
        <v>17</v>
      </c>
      <c r="B67" s="102">
        <v>9</v>
      </c>
      <c r="C67" s="103">
        <v>3</v>
      </c>
      <c r="D67" s="104">
        <v>4</v>
      </c>
      <c r="E67" s="103">
        <v>8</v>
      </c>
      <c r="F67" s="104">
        <v>0</v>
      </c>
      <c r="G67" s="105">
        <v>3</v>
      </c>
      <c r="H67" s="106">
        <f t="shared" si="2"/>
        <v>27</v>
      </c>
      <c r="I67" s="121">
        <f t="shared" si="11"/>
        <v>1.0709211587842902</v>
      </c>
      <c r="K67" s="84"/>
      <c r="L67" s="84"/>
      <c r="M67" s="84"/>
      <c r="N67" s="84"/>
      <c r="O67" s="84"/>
    </row>
    <row r="68" spans="1:15" s="30" customFormat="1" ht="17.100000000000001" customHeight="1" x14ac:dyDescent="0.25">
      <c r="A68" s="160" t="s">
        <v>18</v>
      </c>
      <c r="B68" s="145">
        <v>1</v>
      </c>
      <c r="C68" s="148">
        <v>1</v>
      </c>
      <c r="D68" s="147">
        <v>9</v>
      </c>
      <c r="E68" s="148">
        <v>0</v>
      </c>
      <c r="F68" s="147">
        <v>0</v>
      </c>
      <c r="G68" s="149">
        <v>0</v>
      </c>
      <c r="H68" s="106">
        <f t="shared" si="2"/>
        <v>11</v>
      </c>
      <c r="I68" s="121">
        <f t="shared" si="11"/>
        <v>0.43630121283804418</v>
      </c>
      <c r="K68" s="84"/>
      <c r="L68" s="84"/>
      <c r="M68" s="84"/>
      <c r="N68" s="84"/>
      <c r="O68" s="84"/>
    </row>
    <row r="69" spans="1:15" s="30" customFormat="1" ht="17.100000000000001" customHeight="1" x14ac:dyDescent="0.25">
      <c r="A69" s="159" t="s">
        <v>19</v>
      </c>
      <c r="B69" s="102">
        <v>0</v>
      </c>
      <c r="C69" s="103">
        <v>4</v>
      </c>
      <c r="D69" s="104">
        <v>2</v>
      </c>
      <c r="E69" s="103">
        <v>0</v>
      </c>
      <c r="F69" s="104">
        <v>0</v>
      </c>
      <c r="G69" s="105">
        <v>1</v>
      </c>
      <c r="H69" s="106">
        <f t="shared" ref="H69:H70" si="17">SUM(B69:G69)</f>
        <v>7</v>
      </c>
      <c r="I69" s="122">
        <f t="shared" si="11"/>
        <v>0.27764622635148267</v>
      </c>
      <c r="K69" s="84"/>
      <c r="L69" s="84"/>
      <c r="M69" s="84"/>
      <c r="N69" s="84"/>
      <c r="O69" s="84"/>
    </row>
    <row r="70" spans="1:15" s="30" customFormat="1" ht="17.100000000000001" customHeight="1" x14ac:dyDescent="0.25">
      <c r="A70" s="159" t="s">
        <v>58</v>
      </c>
      <c r="B70" s="102">
        <v>0</v>
      </c>
      <c r="C70" s="103">
        <v>0</v>
      </c>
      <c r="D70" s="104">
        <v>0</v>
      </c>
      <c r="E70" s="103">
        <v>0</v>
      </c>
      <c r="F70" s="147">
        <v>0</v>
      </c>
      <c r="G70" s="149">
        <v>0</v>
      </c>
      <c r="H70" s="106">
        <f t="shared" si="17"/>
        <v>0</v>
      </c>
      <c r="I70" s="121">
        <f t="shared" si="11"/>
        <v>0</v>
      </c>
      <c r="J70" s="1"/>
      <c r="K70" s="84"/>
      <c r="L70" s="84"/>
      <c r="M70" s="84"/>
      <c r="N70" s="84"/>
      <c r="O70" s="84"/>
    </row>
    <row r="71" spans="1:15" s="30" customFormat="1" ht="27.95" customHeight="1" x14ac:dyDescent="0.2">
      <c r="A71" s="69" t="s">
        <v>62</v>
      </c>
      <c r="B71" s="207">
        <v>2521194</v>
      </c>
      <c r="C71" s="207"/>
      <c r="D71" s="68"/>
      <c r="E71" s="68"/>
      <c r="F71" s="68"/>
      <c r="G71" s="68"/>
      <c r="H71" s="68"/>
      <c r="I71" s="68"/>
      <c r="J71" s="1"/>
      <c r="K71" s="87"/>
      <c r="L71" s="87"/>
      <c r="M71" s="87"/>
      <c r="N71" s="87"/>
      <c r="O71" s="84"/>
    </row>
    <row r="72" spans="1:15" s="30" customFormat="1" ht="27.95" customHeight="1" x14ac:dyDescent="0.2">
      <c r="A72" s="69" t="s">
        <v>13</v>
      </c>
      <c r="B72" s="70"/>
      <c r="C72" s="71"/>
      <c r="D72" s="72"/>
      <c r="E72" s="70"/>
      <c r="F72" s="71"/>
      <c r="G72" s="73"/>
      <c r="H72" s="69"/>
      <c r="I72" s="69"/>
      <c r="J72" s="1"/>
      <c r="K72" s="84"/>
      <c r="L72" s="84"/>
      <c r="M72" s="84"/>
      <c r="N72" s="84"/>
      <c r="O72" s="84"/>
    </row>
    <row r="73" spans="1:15" s="30" customFormat="1" ht="27.95" customHeight="1" x14ac:dyDescent="0.2">
      <c r="A73" s="208" t="s">
        <v>14</v>
      </c>
      <c r="B73" s="209"/>
      <c r="C73" s="209"/>
      <c r="D73" s="209"/>
      <c r="E73" s="209"/>
      <c r="F73" s="209"/>
      <c r="G73" s="209"/>
      <c r="H73" s="209"/>
      <c r="I73" s="209"/>
      <c r="J73" s="1"/>
      <c r="K73" s="84"/>
      <c r="L73" s="84"/>
      <c r="M73" s="84"/>
      <c r="N73" s="84"/>
      <c r="O73" s="84"/>
    </row>
    <row r="74" spans="1:15" s="30" customFormat="1" ht="27.95" customHeight="1" x14ac:dyDescent="0.2">
      <c r="A74" s="74" t="s">
        <v>81</v>
      </c>
      <c r="B74" s="70"/>
      <c r="C74" s="71"/>
      <c r="D74" s="72"/>
      <c r="E74" s="70"/>
      <c r="F74" s="71"/>
      <c r="G74" s="73"/>
      <c r="H74" s="69"/>
      <c r="I74" s="69"/>
      <c r="J74" s="1"/>
      <c r="K74" s="1"/>
      <c r="L74" s="1"/>
      <c r="M74" s="1"/>
      <c r="N74" s="1"/>
      <c r="O74" s="1"/>
    </row>
    <row r="75" spans="1:15" s="30" customFormat="1" x14ac:dyDescent="0.2">
      <c r="A75" s="1"/>
      <c r="B75" s="11"/>
      <c r="C75" s="2"/>
      <c r="D75" s="22"/>
      <c r="E75" s="11"/>
      <c r="F75" s="2"/>
      <c r="G75" s="1"/>
      <c r="H75" s="1"/>
      <c r="I75" s="1"/>
      <c r="J75" s="1"/>
      <c r="K75" s="1"/>
      <c r="L75" s="1"/>
      <c r="M75" s="1"/>
      <c r="N75" s="1"/>
      <c r="O75" s="1"/>
    </row>
    <row r="76" spans="1:15" s="30" customFormat="1" x14ac:dyDescent="0.2">
      <c r="A76" s="1"/>
      <c r="B76" s="64"/>
      <c r="C76" s="63"/>
      <c r="D76" s="63"/>
      <c r="E76" s="64"/>
      <c r="F76" s="64"/>
      <c r="G76" s="63"/>
      <c r="H76" s="63"/>
      <c r="I76" s="1"/>
      <c r="J76" s="1"/>
      <c r="K76" s="1"/>
      <c r="L76" s="1"/>
      <c r="M76" s="1"/>
      <c r="N76" s="1"/>
      <c r="O76" s="1"/>
    </row>
    <row r="77" spans="1:15" s="30" customFormat="1" ht="15" customHeight="1" x14ac:dyDescent="0.2">
      <c r="A77" s="1"/>
      <c r="B77" s="64"/>
      <c r="C77" s="63"/>
      <c r="D77" s="63"/>
      <c r="E77" s="64"/>
      <c r="F77" s="63"/>
      <c r="G77" s="63"/>
      <c r="H77" s="63"/>
      <c r="I77" s="1"/>
      <c r="J77" s="1"/>
      <c r="K77" s="1"/>
      <c r="L77" s="1"/>
      <c r="M77" s="1"/>
      <c r="N77" s="1"/>
      <c r="O77" s="1"/>
    </row>
    <row r="78" spans="1:15" s="30" customFormat="1" x14ac:dyDescent="0.2">
      <c r="A78" s="1"/>
      <c r="B78" s="63"/>
      <c r="C78" s="63"/>
      <c r="D78" s="63"/>
      <c r="E78" s="64"/>
      <c r="F78" s="63"/>
      <c r="G78" s="63"/>
      <c r="H78" s="63"/>
      <c r="I78" s="1"/>
      <c r="J78" s="21"/>
      <c r="K78" s="1"/>
      <c r="L78" s="1"/>
      <c r="M78" s="1"/>
      <c r="N78" s="1"/>
      <c r="O78" s="1"/>
    </row>
    <row r="79" spans="1:15" x14ac:dyDescent="0.2">
      <c r="B79" s="64"/>
      <c r="C79" s="63"/>
      <c r="D79" s="63"/>
      <c r="E79" s="64"/>
      <c r="F79" s="63"/>
      <c r="G79" s="63"/>
      <c r="H79" s="63"/>
      <c r="J79" s="9"/>
    </row>
    <row r="80" spans="1:15" s="37" customFormat="1" ht="21" customHeight="1" x14ac:dyDescent="0.25">
      <c r="A80" s="1"/>
      <c r="B80" s="64"/>
      <c r="C80" s="63"/>
      <c r="D80" s="67"/>
      <c r="E80" s="64"/>
      <c r="F80" s="63"/>
      <c r="G80" s="67"/>
      <c r="H80" s="63"/>
      <c r="I80" s="1"/>
      <c r="J80" s="9"/>
      <c r="K80" s="1"/>
      <c r="L80" s="1"/>
      <c r="M80" s="1"/>
      <c r="N80" s="1"/>
      <c r="O80" s="1"/>
    </row>
    <row r="81" spans="1:15" s="30" customFormat="1" x14ac:dyDescent="0.2">
      <c r="A81" s="1"/>
      <c r="B81" s="64"/>
      <c r="C81" s="63"/>
      <c r="D81" s="67"/>
      <c r="E81" s="64"/>
      <c r="F81" s="63"/>
      <c r="G81" s="67"/>
      <c r="H81" s="63"/>
      <c r="I81" s="1"/>
      <c r="J81" s="9"/>
      <c r="K81" s="1"/>
      <c r="L81" s="1"/>
      <c r="M81" s="1"/>
      <c r="N81" s="1"/>
      <c r="O81" s="1"/>
    </row>
    <row r="82" spans="1:15" s="30" customFormat="1" x14ac:dyDescent="0.2">
      <c r="A82" s="1"/>
      <c r="B82" s="64"/>
      <c r="C82" s="63"/>
      <c r="D82" s="67"/>
      <c r="E82" s="64"/>
      <c r="F82" s="63"/>
      <c r="G82" s="67"/>
      <c r="H82" s="63"/>
      <c r="I82" s="1"/>
      <c r="J82" s="9"/>
      <c r="K82" s="1"/>
      <c r="L82" s="1"/>
      <c r="M82" s="1"/>
      <c r="N82" s="1"/>
      <c r="O82" s="1"/>
    </row>
    <row r="83" spans="1:15" s="30" customFormat="1" ht="15" customHeight="1" x14ac:dyDescent="0.2">
      <c r="A83" s="1"/>
      <c r="B83" s="66"/>
      <c r="C83" s="19"/>
      <c r="D83" s="65"/>
      <c r="E83" s="66"/>
      <c r="F83" s="19"/>
      <c r="G83" s="19"/>
      <c r="H83" s="19"/>
      <c r="I83" s="1"/>
      <c r="J83" s="1"/>
      <c r="K83" s="1"/>
      <c r="L83" s="1"/>
      <c r="M83" s="1"/>
      <c r="N83" s="1"/>
      <c r="O83" s="1"/>
    </row>
    <row r="84" spans="1:15" x14ac:dyDescent="0.2">
      <c r="B84" s="11"/>
      <c r="C84" s="12"/>
      <c r="D84" s="23"/>
      <c r="E84" s="11"/>
      <c r="F84" s="12"/>
      <c r="G84" s="13"/>
    </row>
    <row r="85" spans="1:15" s="37" customFormat="1" ht="21" customHeight="1" x14ac:dyDescent="0.25">
      <c r="A85" s="1"/>
      <c r="B85" s="11"/>
      <c r="C85" s="12"/>
      <c r="D85" s="23"/>
      <c r="E85" s="11"/>
      <c r="F85" s="12"/>
      <c r="G85" s="13"/>
      <c r="H85" s="1"/>
      <c r="I85" s="1"/>
      <c r="J85" s="1"/>
      <c r="K85" s="1"/>
      <c r="L85" s="1"/>
      <c r="M85" s="1"/>
      <c r="N85" s="1"/>
      <c r="O85" s="1"/>
    </row>
    <row r="86" spans="1:15" s="30" customFormat="1" x14ac:dyDescent="0.2">
      <c r="A86" s="1"/>
      <c r="B86" s="11"/>
      <c r="C86" s="12"/>
      <c r="D86" s="23"/>
      <c r="E86" s="11"/>
      <c r="F86" s="12"/>
      <c r="G86" s="13"/>
      <c r="H86" s="1"/>
      <c r="I86" s="1"/>
      <c r="J86" s="1"/>
      <c r="K86" s="1"/>
      <c r="L86" s="1"/>
      <c r="M86" s="1"/>
      <c r="N86" s="1"/>
      <c r="O86" s="1"/>
    </row>
    <row r="87" spans="1:15" s="30" customFormat="1" x14ac:dyDescent="0.2">
      <c r="A87" s="1"/>
      <c r="B87" s="11"/>
      <c r="C87" s="12"/>
      <c r="D87" s="23"/>
      <c r="E87" s="11"/>
      <c r="F87" s="12"/>
      <c r="G87" s="13"/>
      <c r="H87" s="1"/>
      <c r="I87" s="1"/>
      <c r="J87" s="1"/>
      <c r="K87" s="1"/>
      <c r="L87" s="1"/>
      <c r="M87" s="1"/>
      <c r="N87" s="1"/>
      <c r="O87" s="1"/>
    </row>
    <row r="88" spans="1:15" s="30" customFormat="1" x14ac:dyDescent="0.2">
      <c r="A88" s="1"/>
      <c r="B88" s="11"/>
      <c r="C88" s="12"/>
      <c r="D88" s="23"/>
      <c r="E88" s="11"/>
      <c r="F88" s="12"/>
      <c r="G88" s="13"/>
      <c r="H88" s="1"/>
      <c r="I88" s="1"/>
      <c r="J88" s="1"/>
      <c r="K88" s="1"/>
      <c r="L88" s="1"/>
      <c r="M88" s="1"/>
      <c r="N88" s="1"/>
      <c r="O88" s="1"/>
    </row>
    <row r="89" spans="1:15" s="30" customFormat="1" x14ac:dyDescent="0.2">
      <c r="A89" s="1"/>
      <c r="B89" s="11"/>
      <c r="C89" s="1"/>
      <c r="D89" s="22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30" customFormat="1" x14ac:dyDescent="0.2">
      <c r="A90" s="1"/>
      <c r="B90" s="11"/>
      <c r="C90" s="12"/>
      <c r="D90" s="23"/>
      <c r="E90" s="11"/>
      <c r="F90" s="12"/>
      <c r="G90" s="13"/>
      <c r="H90" s="1"/>
      <c r="I90" s="1"/>
      <c r="J90" s="1"/>
      <c r="K90" s="1"/>
      <c r="L90" s="1"/>
      <c r="M90" s="1"/>
      <c r="N90" s="1"/>
      <c r="O90" s="1"/>
    </row>
    <row r="91" spans="1:15" s="37" customFormat="1" ht="21" customHeight="1" x14ac:dyDescent="0.25">
      <c r="A91" s="1"/>
      <c r="B91" s="11"/>
      <c r="C91" s="12"/>
      <c r="D91" s="23"/>
      <c r="E91" s="11"/>
      <c r="F91" s="12"/>
      <c r="G91" s="13"/>
      <c r="H91" s="1"/>
      <c r="I91" s="1"/>
      <c r="J91" s="1"/>
      <c r="K91" s="1"/>
      <c r="L91" s="1"/>
      <c r="M91" s="1"/>
      <c r="N91" s="1"/>
      <c r="O91" s="1"/>
    </row>
    <row r="92" spans="1:15" s="37" customFormat="1" ht="21" customHeight="1" x14ac:dyDescent="0.25">
      <c r="A92" s="1"/>
      <c r="B92" s="11"/>
      <c r="C92" s="12"/>
      <c r="D92" s="23"/>
      <c r="E92" s="11"/>
      <c r="F92" s="12"/>
      <c r="G92" s="13"/>
      <c r="H92" s="1"/>
      <c r="I92" s="1"/>
      <c r="J92" s="1"/>
      <c r="K92" s="1"/>
      <c r="L92" s="1"/>
      <c r="M92" s="1"/>
      <c r="N92" s="1"/>
      <c r="O92" s="1"/>
    </row>
    <row r="93" spans="1:15" s="37" customFormat="1" ht="21" customHeight="1" x14ac:dyDescent="0.25">
      <c r="A93" s="1"/>
      <c r="B93" s="11"/>
      <c r="C93" s="12"/>
      <c r="D93" s="23"/>
      <c r="E93" s="11"/>
      <c r="F93" s="12"/>
      <c r="G93" s="13"/>
      <c r="H93" s="1"/>
      <c r="I93" s="1"/>
      <c r="J93" s="1"/>
      <c r="K93" s="1"/>
      <c r="L93" s="1"/>
      <c r="M93" s="1"/>
      <c r="N93" s="1"/>
      <c r="O93" s="1"/>
    </row>
    <row r="94" spans="1:15" s="37" customFormat="1" ht="21" customHeight="1" x14ac:dyDescent="0.25">
      <c r="A94" s="1"/>
      <c r="B94" s="11"/>
      <c r="C94" s="12"/>
      <c r="D94" s="23"/>
      <c r="E94" s="11"/>
      <c r="F94" s="12"/>
      <c r="G94" s="13"/>
      <c r="H94" s="1"/>
      <c r="I94" s="1"/>
      <c r="J94" s="1"/>
      <c r="K94" s="1"/>
      <c r="L94" s="1"/>
      <c r="M94" s="1"/>
      <c r="N94" s="1"/>
      <c r="O94" s="1"/>
    </row>
    <row r="95" spans="1:15" s="37" customFormat="1" ht="21" customHeight="1" x14ac:dyDescent="0.25">
      <c r="A95" s="1"/>
      <c r="B95" s="11"/>
      <c r="C95" s="12"/>
      <c r="D95" s="22"/>
      <c r="E95" s="11"/>
      <c r="F95" s="12"/>
      <c r="G95" s="1"/>
      <c r="H95" s="1"/>
      <c r="I95" s="1"/>
      <c r="J95" s="1"/>
      <c r="K95" s="1"/>
      <c r="L95" s="1"/>
      <c r="M95" s="1"/>
      <c r="N95" s="1"/>
      <c r="O95" s="1"/>
    </row>
    <row r="96" spans="1:15" s="37" customFormat="1" ht="21" customHeight="1" x14ac:dyDescent="0.25">
      <c r="A96" s="1"/>
      <c r="B96" s="3"/>
      <c r="C96" s="12"/>
      <c r="D96" s="22"/>
      <c r="E96" s="3"/>
      <c r="F96" s="12"/>
      <c r="G96" s="1"/>
      <c r="H96" s="1"/>
      <c r="I96" s="1"/>
      <c r="J96" s="1"/>
      <c r="K96" s="1"/>
      <c r="L96" s="1"/>
      <c r="M96" s="1"/>
      <c r="N96" s="1"/>
      <c r="O96" s="1"/>
    </row>
    <row r="97" spans="1:15" s="37" customFormat="1" ht="21" customHeight="1" x14ac:dyDescent="0.25">
      <c r="A97" s="1"/>
      <c r="B97" s="3"/>
      <c r="C97" s="12"/>
      <c r="D97" s="22"/>
      <c r="E97" s="3"/>
      <c r="F97" s="12"/>
      <c r="G97" s="1"/>
      <c r="H97" s="1"/>
      <c r="I97" s="1"/>
      <c r="J97" s="1"/>
      <c r="K97" s="1"/>
      <c r="L97" s="1"/>
      <c r="M97" s="1"/>
      <c r="N97" s="1"/>
      <c r="O97" s="1"/>
    </row>
    <row r="98" spans="1:15" ht="33.75" customHeight="1" x14ac:dyDescent="0.2">
      <c r="B98" s="3"/>
      <c r="E98" s="3"/>
    </row>
    <row r="99" spans="1:15" ht="22.5" customHeight="1" x14ac:dyDescent="0.2">
      <c r="B99" s="3"/>
      <c r="E99" s="3"/>
    </row>
    <row r="100" spans="1:15" ht="27.75" customHeight="1" x14ac:dyDescent="0.2">
      <c r="B100" s="14"/>
      <c r="C100" s="5"/>
      <c r="D100" s="24"/>
      <c r="E100" s="14"/>
      <c r="F100" s="5"/>
      <c r="G100" s="5"/>
    </row>
    <row r="101" spans="1:15" ht="16.5" customHeight="1" x14ac:dyDescent="0.2">
      <c r="B101" s="3"/>
      <c r="D101" s="24"/>
      <c r="E101" s="3"/>
      <c r="G101" s="5"/>
    </row>
    <row r="102" spans="1:15" ht="24" customHeight="1" x14ac:dyDescent="0.2">
      <c r="B102" s="3"/>
      <c r="D102" s="24"/>
      <c r="E102" s="3"/>
      <c r="G102" s="5"/>
    </row>
    <row r="103" spans="1:15" ht="15.75" x14ac:dyDescent="0.25">
      <c r="A103" s="15"/>
      <c r="B103" s="3"/>
      <c r="E103" s="3"/>
    </row>
    <row r="104" spans="1:15" ht="15.75" x14ac:dyDescent="0.25">
      <c r="A104" s="15"/>
      <c r="B104" s="3"/>
      <c r="E104" s="3"/>
      <c r="H104" s="3"/>
    </row>
    <row r="105" spans="1:15" ht="15.75" x14ac:dyDescent="0.25">
      <c r="A105" s="15"/>
      <c r="B105" s="3"/>
      <c r="C105" s="12"/>
      <c r="D105" s="23"/>
      <c r="E105" s="3"/>
      <c r="F105" s="12"/>
      <c r="G105" s="13"/>
      <c r="I105" s="13"/>
      <c r="J105" s="7"/>
    </row>
    <row r="106" spans="1:15" x14ac:dyDescent="0.2">
      <c r="B106" s="3"/>
      <c r="C106" s="12"/>
      <c r="D106" s="23"/>
      <c r="E106" s="3"/>
      <c r="F106" s="12"/>
      <c r="G106" s="13"/>
    </row>
    <row r="107" spans="1:15" x14ac:dyDescent="0.2">
      <c r="B107" s="3"/>
      <c r="C107" s="12"/>
      <c r="D107" s="23"/>
      <c r="E107" s="3"/>
      <c r="F107" s="12"/>
      <c r="G107" s="13"/>
    </row>
    <row r="108" spans="1:15" x14ac:dyDescent="0.2">
      <c r="B108" s="3"/>
      <c r="C108" s="12"/>
      <c r="D108" s="23"/>
      <c r="E108" s="3"/>
      <c r="F108" s="12"/>
      <c r="G108" s="13"/>
    </row>
    <row r="109" spans="1:15" x14ac:dyDescent="0.2">
      <c r="B109" s="3"/>
      <c r="C109" s="12"/>
      <c r="D109" s="23"/>
      <c r="E109" s="3"/>
      <c r="F109" s="12"/>
      <c r="G109" s="13"/>
    </row>
    <row r="110" spans="1:15" ht="15.75" x14ac:dyDescent="0.25">
      <c r="A110" s="6"/>
      <c r="B110" s="3"/>
      <c r="C110" s="12"/>
      <c r="D110" s="23"/>
      <c r="E110" s="3"/>
      <c r="F110" s="12"/>
      <c r="G110" s="13"/>
    </row>
    <row r="111" spans="1:15" x14ac:dyDescent="0.2">
      <c r="B111" s="3"/>
      <c r="E111" s="3"/>
    </row>
    <row r="112" spans="1:15" ht="15.75" x14ac:dyDescent="0.25">
      <c r="A112" s="6"/>
      <c r="B112" s="3"/>
      <c r="E112" s="3"/>
    </row>
    <row r="113" spans="1:5" ht="15.75" x14ac:dyDescent="0.2">
      <c r="A113" s="4"/>
      <c r="B113" s="3"/>
      <c r="E113" s="3"/>
    </row>
    <row r="114" spans="1:5" x14ac:dyDescent="0.2">
      <c r="B114" s="3"/>
      <c r="E114" s="3"/>
    </row>
    <row r="115" spans="1:5" ht="15.75" x14ac:dyDescent="0.25">
      <c r="A115" s="6"/>
      <c r="B115" s="3"/>
      <c r="E115" s="3"/>
    </row>
    <row r="116" spans="1:5" x14ac:dyDescent="0.2">
      <c r="B116" s="3"/>
      <c r="E116" s="3"/>
    </row>
    <row r="117" spans="1:5" x14ac:dyDescent="0.2"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A123" s="10"/>
      <c r="B123" s="3"/>
      <c r="E123" s="3"/>
    </row>
    <row r="124" spans="1:5" x14ac:dyDescent="0.2">
      <c r="B124" s="3"/>
      <c r="E124" s="3"/>
    </row>
    <row r="125" spans="1:5" x14ac:dyDescent="0.2"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C130" s="12"/>
      <c r="D130" s="23"/>
      <c r="E130" s="3"/>
      <c r="F130" s="12"/>
      <c r="G130" s="13"/>
    </row>
    <row r="131" spans="1:7" x14ac:dyDescent="0.2">
      <c r="B131" s="3"/>
      <c r="C131" s="12"/>
      <c r="D131" s="23"/>
      <c r="E131" s="3"/>
      <c r="F131" s="12"/>
      <c r="G131" s="13"/>
    </row>
    <row r="132" spans="1:7" x14ac:dyDescent="0.2">
      <c r="B132" s="3"/>
      <c r="C132" s="12"/>
      <c r="D132" s="23"/>
      <c r="E132" s="3"/>
      <c r="F132" s="12"/>
      <c r="G132" s="13"/>
    </row>
    <row r="133" spans="1:7" x14ac:dyDescent="0.2">
      <c r="B133" s="3"/>
      <c r="C133" s="12"/>
      <c r="D133" s="23"/>
      <c r="E133" s="3"/>
      <c r="F133" s="12"/>
      <c r="G133" s="13"/>
    </row>
    <row r="134" spans="1:7" ht="15.75" x14ac:dyDescent="0.25">
      <c r="A134" s="15"/>
      <c r="B134" s="3"/>
      <c r="C134" s="12"/>
      <c r="D134" s="23"/>
      <c r="E134" s="3"/>
      <c r="F134" s="12"/>
      <c r="G134" s="13"/>
    </row>
    <row r="135" spans="1:7" ht="15.75" x14ac:dyDescent="0.25">
      <c r="A135" s="6"/>
      <c r="B135" s="3"/>
      <c r="C135" s="12"/>
      <c r="D135" s="23"/>
      <c r="E135" s="3"/>
      <c r="F135" s="12"/>
      <c r="G135" s="13"/>
    </row>
    <row r="136" spans="1:7" ht="15.75" x14ac:dyDescent="0.25">
      <c r="A136" s="8"/>
      <c r="B136" s="3"/>
      <c r="C136" s="12"/>
      <c r="D136" s="23"/>
      <c r="E136" s="3"/>
      <c r="F136" s="12"/>
      <c r="G136" s="13"/>
    </row>
    <row r="137" spans="1:7" x14ac:dyDescent="0.2">
      <c r="B137" s="3"/>
      <c r="C137" s="12"/>
      <c r="D137" s="23"/>
      <c r="E137" s="3"/>
      <c r="F137" s="12"/>
      <c r="G137" s="13"/>
    </row>
    <row r="138" spans="1:7" x14ac:dyDescent="0.2">
      <c r="A138" s="10"/>
      <c r="B138" s="3"/>
      <c r="C138" s="12"/>
      <c r="D138" s="23"/>
      <c r="E138" s="3"/>
      <c r="F138" s="12"/>
      <c r="G138" s="13"/>
    </row>
    <row r="139" spans="1:7" x14ac:dyDescent="0.2">
      <c r="B139" s="3"/>
      <c r="C139" s="12"/>
      <c r="D139" s="23"/>
      <c r="E139" s="3"/>
      <c r="F139" s="12"/>
      <c r="G139" s="13"/>
    </row>
    <row r="140" spans="1:7" x14ac:dyDescent="0.2">
      <c r="A140" s="10"/>
      <c r="B140" s="3"/>
      <c r="C140" s="12"/>
      <c r="D140" s="23"/>
      <c r="E140" s="3"/>
      <c r="F140" s="12"/>
      <c r="G140" s="13"/>
    </row>
    <row r="141" spans="1:7" x14ac:dyDescent="0.2">
      <c r="B141" s="3"/>
      <c r="C141" s="12"/>
      <c r="D141" s="23"/>
      <c r="E141" s="3"/>
      <c r="F141" s="12"/>
      <c r="G141" s="13"/>
    </row>
    <row r="142" spans="1:7" ht="15.75" x14ac:dyDescent="0.25">
      <c r="A142" s="15"/>
      <c r="C142" s="12"/>
      <c r="D142" s="23"/>
      <c r="F142" s="12"/>
      <c r="G142" s="13"/>
    </row>
    <row r="143" spans="1:7" ht="15.75" x14ac:dyDescent="0.25">
      <c r="A143" s="15"/>
      <c r="C143" s="12"/>
      <c r="D143" s="23"/>
      <c r="F143" s="12"/>
      <c r="G143" s="13"/>
    </row>
    <row r="144" spans="1:7" ht="15.75" x14ac:dyDescent="0.25">
      <c r="A144" s="15"/>
      <c r="C144" s="12"/>
      <c r="F144" s="12"/>
    </row>
    <row r="145" spans="1:7" x14ac:dyDescent="0.2">
      <c r="C145" s="12"/>
      <c r="F145" s="12"/>
    </row>
    <row r="146" spans="1:7" x14ac:dyDescent="0.2">
      <c r="C146" s="12"/>
      <c r="F146" s="12"/>
    </row>
    <row r="147" spans="1:7" x14ac:dyDescent="0.2">
      <c r="C147" s="12"/>
      <c r="D147" s="23"/>
      <c r="F147" s="12"/>
      <c r="G147" s="13"/>
    </row>
    <row r="148" spans="1:7" x14ac:dyDescent="0.2">
      <c r="B148" s="10"/>
      <c r="C148" s="16"/>
      <c r="D148" s="25"/>
      <c r="E148" s="10"/>
      <c r="F148" s="16"/>
      <c r="G148" s="17"/>
    </row>
    <row r="149" spans="1:7" ht="15.75" x14ac:dyDescent="0.25">
      <c r="A149" s="6"/>
      <c r="C149" s="12"/>
      <c r="D149" s="23"/>
      <c r="F149" s="12"/>
      <c r="G149" s="13"/>
    </row>
    <row r="150" spans="1:7" x14ac:dyDescent="0.2">
      <c r="B150" s="10"/>
      <c r="C150" s="16"/>
      <c r="D150" s="25"/>
      <c r="E150" s="10"/>
      <c r="F150" s="16"/>
      <c r="G150" s="17"/>
    </row>
    <row r="151" spans="1:7" ht="15.75" x14ac:dyDescent="0.25">
      <c r="A151" s="6"/>
      <c r="C151" s="12"/>
      <c r="D151" s="23"/>
      <c r="F151" s="12"/>
      <c r="G151" s="13"/>
    </row>
    <row r="152" spans="1:7" ht="15.75" x14ac:dyDescent="0.2">
      <c r="A152" s="4"/>
      <c r="C152" s="12"/>
      <c r="F152" s="12"/>
    </row>
    <row r="153" spans="1:7" x14ac:dyDescent="0.2">
      <c r="C153" s="12"/>
      <c r="F153" s="12"/>
    </row>
    <row r="154" spans="1:7" ht="15.75" x14ac:dyDescent="0.25">
      <c r="A154" s="6"/>
      <c r="C154" s="12"/>
      <c r="F154" s="12"/>
    </row>
    <row r="155" spans="1:7" x14ac:dyDescent="0.2"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A162" s="10"/>
      <c r="B162" s="5"/>
      <c r="E162" s="5"/>
    </row>
    <row r="163" spans="1:7" x14ac:dyDescent="0.2">
      <c r="B163" s="5"/>
      <c r="C163" s="5"/>
      <c r="D163" s="24"/>
      <c r="E163" s="5"/>
      <c r="F163" s="5"/>
      <c r="G163" s="5"/>
    </row>
    <row r="164" spans="1:7" x14ac:dyDescent="0.2">
      <c r="D164" s="24"/>
      <c r="G164" s="5"/>
    </row>
    <row r="166" spans="1:7" x14ac:dyDescent="0.2">
      <c r="C166" s="12"/>
      <c r="D166" s="23"/>
      <c r="F166" s="12"/>
      <c r="G166" s="13"/>
    </row>
    <row r="167" spans="1:7" x14ac:dyDescent="0.2">
      <c r="C167" s="12"/>
      <c r="D167" s="23"/>
      <c r="F167" s="12"/>
      <c r="G167" s="13"/>
    </row>
    <row r="168" spans="1:7" x14ac:dyDescent="0.2">
      <c r="C168" s="12"/>
      <c r="D168" s="23"/>
      <c r="F168" s="12"/>
      <c r="G168" s="13"/>
    </row>
    <row r="169" spans="1:7" x14ac:dyDescent="0.2">
      <c r="C169" s="12"/>
      <c r="D169" s="23"/>
      <c r="F169" s="12"/>
      <c r="G169" s="13"/>
    </row>
    <row r="170" spans="1:7" x14ac:dyDescent="0.2">
      <c r="C170" s="12"/>
      <c r="D170" s="23"/>
      <c r="F170" s="12"/>
      <c r="G170" s="13"/>
    </row>
    <row r="171" spans="1:7" x14ac:dyDescent="0.2">
      <c r="C171" s="12"/>
      <c r="D171" s="23"/>
      <c r="F171" s="12"/>
      <c r="G171" s="13"/>
    </row>
    <row r="172" spans="1:7" x14ac:dyDescent="0.2">
      <c r="B172" s="10"/>
      <c r="C172" s="16"/>
      <c r="D172" s="25"/>
      <c r="E172" s="10"/>
      <c r="F172" s="16"/>
      <c r="G172" s="17"/>
    </row>
    <row r="173" spans="1:7" ht="15.75" x14ac:dyDescent="0.25">
      <c r="A173" s="15"/>
      <c r="C173" s="12"/>
      <c r="D173" s="23"/>
      <c r="F173" s="12"/>
      <c r="G173" s="13"/>
    </row>
    <row r="174" spans="1:7" ht="15.75" x14ac:dyDescent="0.25">
      <c r="A174" s="6"/>
      <c r="C174" s="12"/>
      <c r="D174" s="23"/>
      <c r="F174" s="12"/>
      <c r="G174" s="13"/>
    </row>
    <row r="175" spans="1:7" ht="15.75" x14ac:dyDescent="0.25">
      <c r="A175" s="8"/>
      <c r="C175" s="12"/>
      <c r="D175" s="23"/>
      <c r="F175" s="12"/>
      <c r="G175" s="13"/>
    </row>
    <row r="176" spans="1:7" x14ac:dyDescent="0.2">
      <c r="C176" s="12"/>
      <c r="D176" s="23"/>
      <c r="F176" s="12"/>
      <c r="G176" s="13"/>
    </row>
    <row r="177" spans="1:7" x14ac:dyDescent="0.2">
      <c r="A177" s="10"/>
      <c r="C177" s="12"/>
      <c r="D177" s="23"/>
      <c r="F177" s="12"/>
      <c r="G177" s="13"/>
    </row>
    <row r="178" spans="1:7" x14ac:dyDescent="0.2">
      <c r="C178" s="12"/>
      <c r="D178" s="23"/>
      <c r="F178" s="12"/>
      <c r="G178" s="13"/>
    </row>
    <row r="179" spans="1:7" x14ac:dyDescent="0.2">
      <c r="A179" s="10"/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ht="15.75" x14ac:dyDescent="0.25">
      <c r="A181" s="15"/>
      <c r="C181" s="12"/>
      <c r="D181" s="23"/>
      <c r="F181" s="12"/>
      <c r="G181" s="13"/>
    </row>
    <row r="182" spans="1:7" ht="15.75" x14ac:dyDescent="0.25">
      <c r="A182" s="15"/>
      <c r="C182" s="12"/>
      <c r="D182" s="23"/>
      <c r="F182" s="12"/>
      <c r="G182" s="13"/>
    </row>
    <row r="183" spans="1:7" ht="15.75" x14ac:dyDescent="0.25">
      <c r="A183" s="15"/>
      <c r="C183" s="12"/>
      <c r="F183" s="12"/>
    </row>
    <row r="184" spans="1:7" x14ac:dyDescent="0.2">
      <c r="C184" s="12"/>
      <c r="F184" s="12"/>
    </row>
    <row r="185" spans="1:7" x14ac:dyDescent="0.2">
      <c r="C185" s="12"/>
      <c r="F185" s="12"/>
    </row>
    <row r="186" spans="1:7" x14ac:dyDescent="0.2">
      <c r="C186" s="12"/>
      <c r="D186" s="23"/>
      <c r="F186" s="12"/>
      <c r="G186" s="13"/>
    </row>
    <row r="187" spans="1:7" x14ac:dyDescent="0.2">
      <c r="B187" s="10"/>
      <c r="C187" s="16"/>
      <c r="D187" s="25"/>
      <c r="E187" s="10"/>
      <c r="F187" s="16"/>
      <c r="G187" s="17"/>
    </row>
    <row r="188" spans="1:7" ht="15.75" x14ac:dyDescent="0.25">
      <c r="A188" s="6"/>
      <c r="C188" s="12"/>
      <c r="D188" s="23"/>
      <c r="F188" s="12"/>
      <c r="G188" s="13"/>
    </row>
    <row r="189" spans="1:7" x14ac:dyDescent="0.2">
      <c r="B189" s="10"/>
      <c r="C189" s="16"/>
      <c r="D189" s="25"/>
      <c r="E189" s="10"/>
      <c r="F189" s="16"/>
      <c r="G189" s="17"/>
    </row>
    <row r="190" spans="1:7" ht="15.75" x14ac:dyDescent="0.25">
      <c r="A190" s="6"/>
      <c r="C190" s="12"/>
      <c r="D190" s="23"/>
      <c r="F190" s="12"/>
      <c r="G190" s="13"/>
    </row>
    <row r="191" spans="1:7" ht="15.75" x14ac:dyDescent="0.2">
      <c r="A191" s="4"/>
      <c r="C191" s="12"/>
      <c r="F191" s="12"/>
    </row>
    <row r="192" spans="1:7" x14ac:dyDescent="0.2">
      <c r="C192" s="12"/>
      <c r="F192" s="12"/>
    </row>
    <row r="193" spans="1:7" ht="15.75" x14ac:dyDescent="0.25">
      <c r="A193" s="6"/>
      <c r="C193" s="12"/>
      <c r="F193" s="12"/>
    </row>
    <row r="194" spans="1:7" x14ac:dyDescent="0.2"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A201" s="10"/>
      <c r="B201" s="5"/>
      <c r="E201" s="5"/>
    </row>
    <row r="202" spans="1:7" x14ac:dyDescent="0.2">
      <c r="B202" s="5"/>
      <c r="C202" s="5"/>
      <c r="D202" s="24"/>
      <c r="E202" s="5"/>
      <c r="F202" s="5"/>
      <c r="G202" s="5"/>
    </row>
    <row r="203" spans="1:7" x14ac:dyDescent="0.2">
      <c r="D203" s="24"/>
      <c r="G203" s="5"/>
    </row>
    <row r="205" spans="1:7" x14ac:dyDescent="0.2">
      <c r="C205" s="12"/>
      <c r="D205" s="23"/>
      <c r="F205" s="12"/>
      <c r="G205" s="13"/>
    </row>
    <row r="206" spans="1:7" x14ac:dyDescent="0.2">
      <c r="C206" s="12"/>
      <c r="D206" s="23"/>
      <c r="F206" s="12"/>
      <c r="G206" s="13"/>
    </row>
    <row r="207" spans="1:7" x14ac:dyDescent="0.2">
      <c r="C207" s="12"/>
      <c r="D207" s="23"/>
      <c r="F207" s="12"/>
      <c r="G207" s="13"/>
    </row>
    <row r="208" spans="1:7" x14ac:dyDescent="0.2">
      <c r="C208" s="12"/>
      <c r="D208" s="23"/>
      <c r="F208" s="12"/>
      <c r="G208" s="13"/>
    </row>
    <row r="209" spans="1:7" x14ac:dyDescent="0.2">
      <c r="C209" s="12"/>
      <c r="D209" s="23"/>
      <c r="F209" s="12"/>
      <c r="G209" s="13"/>
    </row>
    <row r="210" spans="1:7" x14ac:dyDescent="0.2">
      <c r="C210" s="12"/>
      <c r="D210" s="23"/>
      <c r="F210" s="12"/>
      <c r="G210" s="13"/>
    </row>
    <row r="211" spans="1:7" x14ac:dyDescent="0.2">
      <c r="B211" s="10"/>
      <c r="C211" s="16"/>
      <c r="D211" s="25"/>
      <c r="E211" s="10"/>
      <c r="F211" s="16"/>
      <c r="G211" s="17"/>
    </row>
    <row r="212" spans="1:7" ht="15.75" x14ac:dyDescent="0.25">
      <c r="A212" s="15"/>
      <c r="C212" s="12"/>
      <c r="D212" s="23"/>
      <c r="F212" s="12"/>
      <c r="G212" s="13"/>
    </row>
    <row r="213" spans="1:7" ht="15.75" x14ac:dyDescent="0.25">
      <c r="A213" s="6"/>
      <c r="C213" s="12"/>
      <c r="D213" s="23"/>
      <c r="F213" s="12"/>
      <c r="G213" s="13"/>
    </row>
    <row r="214" spans="1:7" ht="15.75" x14ac:dyDescent="0.25">
      <c r="A214" s="8"/>
      <c r="C214" s="12"/>
      <c r="D214" s="23"/>
      <c r="F214" s="12"/>
      <c r="G214" s="13"/>
    </row>
    <row r="215" spans="1:7" x14ac:dyDescent="0.2">
      <c r="C215" s="12"/>
      <c r="D215" s="23"/>
      <c r="F215" s="12"/>
      <c r="G215" s="13"/>
    </row>
    <row r="216" spans="1:7" x14ac:dyDescent="0.2">
      <c r="A216" s="10"/>
      <c r="C216" s="12"/>
      <c r="D216" s="23"/>
      <c r="F216" s="12"/>
      <c r="G216" s="13"/>
    </row>
    <row r="217" spans="1:7" x14ac:dyDescent="0.2">
      <c r="C217" s="12"/>
      <c r="D217" s="23"/>
      <c r="F217" s="12"/>
      <c r="G217" s="13"/>
    </row>
    <row r="218" spans="1:7" x14ac:dyDescent="0.2">
      <c r="A218" s="10"/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ht="15.75" x14ac:dyDescent="0.25">
      <c r="A220" s="15"/>
      <c r="C220" s="12"/>
      <c r="D220" s="23"/>
      <c r="F220" s="12"/>
      <c r="G220" s="13"/>
    </row>
    <row r="221" spans="1:7" ht="15.75" x14ac:dyDescent="0.25">
      <c r="A221" s="15"/>
      <c r="C221" s="12"/>
      <c r="D221" s="23"/>
      <c r="F221" s="12"/>
      <c r="G221" s="13"/>
    </row>
    <row r="222" spans="1:7" ht="15.75" x14ac:dyDescent="0.25">
      <c r="A222" s="15"/>
      <c r="C222" s="12"/>
      <c r="F222" s="12"/>
    </row>
    <row r="223" spans="1:7" x14ac:dyDescent="0.2">
      <c r="C223" s="12"/>
      <c r="F223" s="12"/>
    </row>
    <row r="224" spans="1:7" x14ac:dyDescent="0.2">
      <c r="C224" s="12"/>
      <c r="F224" s="12"/>
    </row>
    <row r="225" spans="1:7" x14ac:dyDescent="0.2">
      <c r="C225" s="12"/>
      <c r="D225" s="23"/>
      <c r="F225" s="12"/>
      <c r="G225" s="13"/>
    </row>
    <row r="226" spans="1:7" x14ac:dyDescent="0.2">
      <c r="B226" s="10"/>
      <c r="C226" s="16"/>
      <c r="D226" s="25"/>
      <c r="E226" s="10"/>
      <c r="F226" s="16"/>
      <c r="G226" s="17"/>
    </row>
    <row r="227" spans="1:7" ht="15.75" x14ac:dyDescent="0.25">
      <c r="A227" s="6"/>
      <c r="C227" s="12"/>
      <c r="D227" s="23"/>
      <c r="F227" s="12"/>
      <c r="G227" s="13"/>
    </row>
    <row r="228" spans="1:7" x14ac:dyDescent="0.2">
      <c r="B228" s="10"/>
      <c r="C228" s="16"/>
      <c r="D228" s="25"/>
      <c r="E228" s="10"/>
      <c r="F228" s="16"/>
      <c r="G228" s="17"/>
    </row>
    <row r="229" spans="1:7" ht="15.75" x14ac:dyDescent="0.25">
      <c r="A229" s="6"/>
      <c r="C229" s="12"/>
      <c r="D229" s="23"/>
      <c r="F229" s="12"/>
      <c r="G229" s="13"/>
    </row>
    <row r="230" spans="1:7" ht="15.75" x14ac:dyDescent="0.2">
      <c r="A230" s="4"/>
      <c r="C230" s="12"/>
      <c r="F230" s="12"/>
    </row>
    <row r="231" spans="1:7" x14ac:dyDescent="0.2">
      <c r="C231" s="12"/>
      <c r="F231" s="12"/>
    </row>
    <row r="232" spans="1:7" ht="15.75" x14ac:dyDescent="0.25">
      <c r="A232" s="6"/>
      <c r="C232" s="12"/>
      <c r="F232" s="12"/>
    </row>
    <row r="233" spans="1:7" x14ac:dyDescent="0.2"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A240" s="10"/>
      <c r="B240" s="5"/>
      <c r="E240" s="5"/>
    </row>
    <row r="241" spans="1:7" x14ac:dyDescent="0.2">
      <c r="B241" s="5"/>
      <c r="C241" s="5"/>
      <c r="D241" s="24"/>
      <c r="E241" s="5"/>
      <c r="F241" s="5"/>
      <c r="G241" s="5"/>
    </row>
    <row r="242" spans="1:7" x14ac:dyDescent="0.2">
      <c r="D242" s="24"/>
      <c r="G242" s="5"/>
    </row>
    <row r="244" spans="1:7" x14ac:dyDescent="0.2">
      <c r="C244" s="12"/>
      <c r="D244" s="23"/>
      <c r="F244" s="12"/>
      <c r="G244" s="13"/>
    </row>
    <row r="245" spans="1:7" x14ac:dyDescent="0.2">
      <c r="C245" s="12"/>
      <c r="D245" s="23"/>
      <c r="F245" s="12"/>
      <c r="G245" s="13"/>
    </row>
    <row r="246" spans="1:7" x14ac:dyDescent="0.2">
      <c r="C246" s="12"/>
      <c r="D246" s="23"/>
      <c r="F246" s="12"/>
      <c r="G246" s="13"/>
    </row>
    <row r="247" spans="1:7" x14ac:dyDescent="0.2">
      <c r="C247" s="12"/>
      <c r="D247" s="23"/>
      <c r="F247" s="12"/>
      <c r="G247" s="13"/>
    </row>
    <row r="248" spans="1:7" x14ac:dyDescent="0.2">
      <c r="C248" s="12"/>
      <c r="D248" s="23"/>
      <c r="F248" s="12"/>
      <c r="G248" s="13"/>
    </row>
    <row r="249" spans="1:7" x14ac:dyDescent="0.2">
      <c r="C249" s="12"/>
      <c r="D249" s="23"/>
      <c r="F249" s="12"/>
      <c r="G249" s="13"/>
    </row>
    <row r="250" spans="1:7" x14ac:dyDescent="0.2">
      <c r="B250" s="10"/>
      <c r="C250" s="16"/>
      <c r="D250" s="25"/>
      <c r="E250" s="10"/>
      <c r="F250" s="16"/>
      <c r="G250" s="17"/>
    </row>
    <row r="251" spans="1:7" ht="15.75" x14ac:dyDescent="0.25">
      <c r="A251" s="15"/>
      <c r="C251" s="12"/>
      <c r="D251" s="23"/>
      <c r="F251" s="12"/>
      <c r="G251" s="13"/>
    </row>
    <row r="252" spans="1:7" ht="15.75" x14ac:dyDescent="0.25">
      <c r="A252" s="6"/>
      <c r="C252" s="12"/>
      <c r="D252" s="23"/>
      <c r="F252" s="12"/>
      <c r="G252" s="13"/>
    </row>
    <row r="253" spans="1:7" ht="15.75" x14ac:dyDescent="0.25">
      <c r="A253" s="8"/>
      <c r="C253" s="12"/>
      <c r="D253" s="23"/>
      <c r="F253" s="12"/>
      <c r="G253" s="13"/>
    </row>
    <row r="254" spans="1:7" x14ac:dyDescent="0.2">
      <c r="C254" s="12"/>
      <c r="D254" s="23"/>
      <c r="F254" s="12"/>
      <c r="G254" s="13"/>
    </row>
    <row r="255" spans="1:7" x14ac:dyDescent="0.2">
      <c r="A255" s="10"/>
      <c r="C255" s="12"/>
      <c r="D255" s="23"/>
      <c r="F255" s="12"/>
      <c r="G255" s="13"/>
    </row>
    <row r="256" spans="1:7" x14ac:dyDescent="0.2">
      <c r="C256" s="12"/>
      <c r="D256" s="23"/>
      <c r="F256" s="12"/>
      <c r="G256" s="13"/>
    </row>
    <row r="257" spans="1:7" x14ac:dyDescent="0.2">
      <c r="A257" s="10"/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ht="15.75" x14ac:dyDescent="0.25">
      <c r="A259" s="15"/>
      <c r="C259" s="12"/>
      <c r="D259" s="23"/>
      <c r="F259" s="12"/>
      <c r="G259" s="13"/>
    </row>
    <row r="260" spans="1:7" ht="15.75" x14ac:dyDescent="0.25">
      <c r="A260" s="15"/>
      <c r="C260" s="12"/>
      <c r="D260" s="23"/>
      <c r="F260" s="12"/>
      <c r="G260" s="13"/>
    </row>
    <row r="261" spans="1:7" ht="15.75" x14ac:dyDescent="0.25">
      <c r="A261" s="15"/>
      <c r="C261" s="12"/>
      <c r="F261" s="12"/>
    </row>
    <row r="262" spans="1:7" x14ac:dyDescent="0.2">
      <c r="C262" s="12"/>
      <c r="F262" s="12"/>
    </row>
    <row r="263" spans="1:7" x14ac:dyDescent="0.2">
      <c r="C263" s="12"/>
      <c r="F263" s="12"/>
    </row>
    <row r="264" spans="1:7" x14ac:dyDescent="0.2">
      <c r="C264" s="12"/>
      <c r="D264" s="23"/>
      <c r="F264" s="12"/>
      <c r="G264" s="13"/>
    </row>
    <row r="265" spans="1:7" x14ac:dyDescent="0.2">
      <c r="B265" s="10"/>
      <c r="C265" s="16"/>
      <c r="D265" s="25"/>
      <c r="E265" s="10"/>
      <c r="F265" s="16"/>
      <c r="G265" s="17"/>
    </row>
    <row r="266" spans="1:7" ht="15.75" x14ac:dyDescent="0.25">
      <c r="A266" s="6"/>
      <c r="C266" s="12"/>
      <c r="D266" s="23"/>
      <c r="F266" s="12"/>
      <c r="G266" s="13"/>
    </row>
    <row r="267" spans="1:7" x14ac:dyDescent="0.2">
      <c r="B267" s="10"/>
      <c r="C267" s="16"/>
      <c r="D267" s="25"/>
      <c r="E267" s="10"/>
      <c r="F267" s="16"/>
      <c r="G267" s="17"/>
    </row>
    <row r="268" spans="1:7" ht="15.75" x14ac:dyDescent="0.25">
      <c r="A268" s="6"/>
      <c r="C268" s="12"/>
      <c r="D268" s="23"/>
      <c r="F268" s="12"/>
      <c r="G268" s="13"/>
    </row>
    <row r="269" spans="1:7" ht="15.75" x14ac:dyDescent="0.25">
      <c r="A269" s="6"/>
      <c r="C269" s="12"/>
      <c r="F269" s="12"/>
    </row>
    <row r="270" spans="1:7" x14ac:dyDescent="0.2">
      <c r="C270" s="12"/>
      <c r="F270" s="12"/>
    </row>
    <row r="271" spans="1:7" x14ac:dyDescent="0.2"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B279" s="5"/>
      <c r="E279" s="5"/>
    </row>
    <row r="280" spans="2:7" x14ac:dyDescent="0.2">
      <c r="B280" s="5"/>
      <c r="C280" s="5"/>
      <c r="D280" s="24"/>
      <c r="E280" s="5"/>
      <c r="F280" s="5"/>
      <c r="G280" s="5"/>
    </row>
    <row r="281" spans="2:7" x14ac:dyDescent="0.2">
      <c r="D281" s="24"/>
      <c r="G281" s="5"/>
    </row>
    <row r="283" spans="2:7" x14ac:dyDescent="0.2">
      <c r="C283" s="12"/>
      <c r="F283" s="12"/>
    </row>
    <row r="284" spans="2:7" x14ac:dyDescent="0.2">
      <c r="C284" s="12"/>
      <c r="F284" s="12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B289" s="10"/>
      <c r="C289" s="16"/>
      <c r="D289" s="26"/>
      <c r="E289" s="10"/>
      <c r="F289" s="16"/>
      <c r="G289" s="10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B304" s="10"/>
      <c r="C304" s="16"/>
      <c r="D304" s="26"/>
      <c r="E304" s="10"/>
      <c r="F304" s="16"/>
      <c r="G304" s="10"/>
    </row>
    <row r="305" spans="2:7" x14ac:dyDescent="0.2">
      <c r="C305" s="12"/>
      <c r="F305" s="12"/>
    </row>
    <row r="306" spans="2:7" x14ac:dyDescent="0.2">
      <c r="B306" s="10"/>
      <c r="C306" s="16"/>
      <c r="D306" s="27"/>
      <c r="E306" s="10"/>
      <c r="F306" s="16"/>
      <c r="G306" s="18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22" spans="4:7" x14ac:dyDescent="0.2">
      <c r="D322" s="28"/>
      <c r="G322" s="12"/>
    </row>
    <row r="323" spans="4:7" x14ac:dyDescent="0.2">
      <c r="D323" s="28"/>
      <c r="G323" s="12"/>
    </row>
    <row r="324" spans="4:7" x14ac:dyDescent="0.2">
      <c r="D324" s="28"/>
      <c r="G324" s="12"/>
    </row>
    <row r="325" spans="4:7" x14ac:dyDescent="0.2">
      <c r="D325" s="28"/>
      <c r="G325" s="12"/>
    </row>
    <row r="326" spans="4:7" x14ac:dyDescent="0.2">
      <c r="D326" s="28"/>
      <c r="G326" s="12"/>
    </row>
    <row r="327" spans="4:7" x14ac:dyDescent="0.2">
      <c r="D327" s="28"/>
      <c r="G327" s="12"/>
    </row>
    <row r="328" spans="4:7" x14ac:dyDescent="0.2">
      <c r="D328" s="28"/>
      <c r="G328" s="12"/>
    </row>
    <row r="329" spans="4:7" x14ac:dyDescent="0.2">
      <c r="D329" s="28"/>
      <c r="G329" s="12"/>
    </row>
    <row r="330" spans="4:7" x14ac:dyDescent="0.2">
      <c r="D330" s="28"/>
      <c r="G330" s="12"/>
    </row>
    <row r="331" spans="4:7" x14ac:dyDescent="0.2">
      <c r="D331" s="28"/>
      <c r="G331" s="12"/>
    </row>
    <row r="332" spans="4:7" x14ac:dyDescent="0.2">
      <c r="D332" s="28"/>
      <c r="G332" s="12"/>
    </row>
    <row r="333" spans="4:7" x14ac:dyDescent="0.2">
      <c r="D333" s="28"/>
      <c r="G333" s="12"/>
    </row>
    <row r="334" spans="4:7" x14ac:dyDescent="0.2">
      <c r="D334" s="28"/>
      <c r="G334" s="12"/>
    </row>
  </sheetData>
  <mergeCells count="4">
    <mergeCell ref="A2:A3"/>
    <mergeCell ref="B2:G2"/>
    <mergeCell ref="B71:C71"/>
    <mergeCell ref="A73:I73"/>
  </mergeCells>
  <phoneticPr fontId="15" type="noConversion"/>
  <pageMargins left="0.75" right="0.75" top="1" bottom="1" header="0.5" footer="0.5"/>
  <pageSetup orientation="portrait" r:id="rId1"/>
  <headerFooter alignWithMargins="0"/>
  <ignoredErrors>
    <ignoredError sqref="B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34"/>
  <sheetViews>
    <sheetView topLeftCell="A52" zoomScale="70" zoomScaleNormal="70" workbookViewId="0">
      <selection activeCell="A74" sqref="A74"/>
    </sheetView>
  </sheetViews>
  <sheetFormatPr defaultColWidth="11.5" defaultRowHeight="15" x14ac:dyDescent="0.2"/>
  <cols>
    <col min="1" max="1" width="56" style="1" customWidth="1"/>
    <col min="2" max="3" width="12" style="1" customWidth="1"/>
    <col min="4" max="4" width="12" style="22" customWidth="1"/>
    <col min="5" max="7" width="12" style="1" customWidth="1"/>
    <col min="8" max="8" width="11.83203125" style="1" customWidth="1"/>
    <col min="9" max="9" width="21" style="1" customWidth="1"/>
    <col min="10" max="10" width="5.83203125" style="1" customWidth="1"/>
    <col min="11" max="11" width="11.6640625" style="1" bestFit="1" customWidth="1"/>
    <col min="12" max="12" width="10.33203125" style="1" bestFit="1" customWidth="1"/>
    <col min="13" max="13" width="9.6640625" style="1" bestFit="1" customWidth="1"/>
    <col min="14" max="14" width="11.5" style="1" customWidth="1"/>
    <col min="15" max="15" width="10" style="1" customWidth="1"/>
    <col min="16" max="16" width="10.1640625" style="1" customWidth="1"/>
    <col min="17" max="16384" width="11.5" style="1"/>
  </cols>
  <sheetData>
    <row r="1" spans="1:15" s="20" customFormat="1" ht="30.75" customHeight="1" x14ac:dyDescent="0.3">
      <c r="A1" s="97" t="s">
        <v>69</v>
      </c>
      <c r="B1" s="98"/>
      <c r="C1" s="99"/>
      <c r="D1" s="100"/>
      <c r="E1" s="98"/>
      <c r="F1" s="99"/>
      <c r="G1" s="99"/>
      <c r="H1" s="99"/>
      <c r="I1" s="101"/>
      <c r="K1" s="84"/>
      <c r="L1" s="84"/>
      <c r="M1" s="84"/>
      <c r="N1" s="84"/>
      <c r="O1" s="84"/>
    </row>
    <row r="2" spans="1:15" ht="18.75" customHeight="1" x14ac:dyDescent="0.25">
      <c r="A2" s="202" t="s">
        <v>37</v>
      </c>
      <c r="B2" s="204" t="s">
        <v>10</v>
      </c>
      <c r="C2" s="205"/>
      <c r="D2" s="205"/>
      <c r="E2" s="205"/>
      <c r="F2" s="205"/>
      <c r="G2" s="206"/>
      <c r="H2" s="91"/>
      <c r="I2" s="92" t="s">
        <v>3</v>
      </c>
      <c r="K2" s="84"/>
      <c r="L2" s="84"/>
      <c r="M2" s="84"/>
      <c r="N2" s="84"/>
      <c r="O2" s="84"/>
    </row>
    <row r="3" spans="1:15" ht="16.5" x14ac:dyDescent="0.25">
      <c r="A3" s="203"/>
      <c r="B3" s="58" t="s">
        <v>8</v>
      </c>
      <c r="C3" s="59" t="s">
        <v>9</v>
      </c>
      <c r="D3" s="59" t="s">
        <v>7</v>
      </c>
      <c r="E3" s="59" t="s">
        <v>4</v>
      </c>
      <c r="F3" s="59" t="s">
        <v>5</v>
      </c>
      <c r="G3" s="60" t="s">
        <v>6</v>
      </c>
      <c r="H3" s="93" t="s">
        <v>0</v>
      </c>
      <c r="I3" s="94">
        <v>100000</v>
      </c>
      <c r="J3" s="5"/>
      <c r="K3" s="84"/>
      <c r="L3" s="84"/>
      <c r="M3" s="84"/>
      <c r="N3" s="84"/>
      <c r="O3" s="84"/>
    </row>
    <row r="4" spans="1:15" s="37" customFormat="1" ht="17.100000000000001" customHeight="1" x14ac:dyDescent="0.25">
      <c r="A4" s="32" t="s">
        <v>48</v>
      </c>
      <c r="B4" s="33">
        <f t="shared" ref="B4:G4" si="0">SUM(B5:B8)</f>
        <v>2119</v>
      </c>
      <c r="C4" s="34">
        <f t="shared" si="0"/>
        <v>1661</v>
      </c>
      <c r="D4" s="31">
        <f t="shared" si="0"/>
        <v>3888</v>
      </c>
      <c r="E4" s="34">
        <f t="shared" si="0"/>
        <v>2383</v>
      </c>
      <c r="F4" s="31">
        <f t="shared" si="0"/>
        <v>489</v>
      </c>
      <c r="G4" s="35">
        <f t="shared" si="0"/>
        <v>316</v>
      </c>
      <c r="H4" s="36">
        <f>SUM(B4:G4)</f>
        <v>10856</v>
      </c>
      <c r="I4" s="62">
        <f t="shared" ref="I4:I12" si="1">H4/B$71 * 100000</f>
        <v>434.43897304965674</v>
      </c>
      <c r="J4" s="38"/>
      <c r="K4" s="86"/>
      <c r="L4" s="84"/>
      <c r="M4" s="84"/>
      <c r="N4" s="84"/>
      <c r="O4" s="84"/>
    </row>
    <row r="5" spans="1:15" ht="17.100000000000001" customHeight="1" x14ac:dyDescent="0.25">
      <c r="A5" s="159" t="s">
        <v>17</v>
      </c>
      <c r="B5" s="102">
        <v>2049</v>
      </c>
      <c r="C5" s="103">
        <v>1440</v>
      </c>
      <c r="D5" s="104">
        <v>3559</v>
      </c>
      <c r="E5" s="103">
        <v>2261</v>
      </c>
      <c r="F5" s="104">
        <v>485</v>
      </c>
      <c r="G5" s="105">
        <v>310</v>
      </c>
      <c r="H5" s="106">
        <f t="shared" ref="H5:H60" si="2">SUM(B5:G5)</f>
        <v>10104</v>
      </c>
      <c r="I5" s="107">
        <f t="shared" si="1"/>
        <v>404.34519009706446</v>
      </c>
      <c r="K5" s="84"/>
      <c r="L5" s="84"/>
      <c r="M5" s="84"/>
      <c r="N5" s="84"/>
      <c r="O5" s="84"/>
    </row>
    <row r="6" spans="1:15" ht="17.100000000000001" customHeight="1" x14ac:dyDescent="0.25">
      <c r="A6" s="159" t="s">
        <v>18</v>
      </c>
      <c r="B6" s="102">
        <v>24</v>
      </c>
      <c r="C6" s="103">
        <v>31</v>
      </c>
      <c r="D6" s="104">
        <v>74</v>
      </c>
      <c r="E6" s="103">
        <v>26</v>
      </c>
      <c r="F6" s="104">
        <v>2</v>
      </c>
      <c r="G6" s="105">
        <v>3</v>
      </c>
      <c r="H6" s="106">
        <f t="shared" si="2"/>
        <v>160</v>
      </c>
      <c r="I6" s="107">
        <f t="shared" si="1"/>
        <v>6.4029325431047415</v>
      </c>
      <c r="K6" s="84"/>
      <c r="L6" s="84"/>
      <c r="M6" s="84"/>
      <c r="N6" s="84"/>
      <c r="O6" s="84"/>
    </row>
    <row r="7" spans="1:15" ht="17.100000000000001" customHeight="1" x14ac:dyDescent="0.25">
      <c r="A7" s="159" t="s">
        <v>19</v>
      </c>
      <c r="B7" s="102">
        <v>34</v>
      </c>
      <c r="C7" s="103">
        <v>152</v>
      </c>
      <c r="D7" s="104">
        <v>214</v>
      </c>
      <c r="E7" s="103">
        <v>86</v>
      </c>
      <c r="F7" s="104">
        <v>2</v>
      </c>
      <c r="G7" s="105">
        <v>3</v>
      </c>
      <c r="H7" s="106">
        <f t="shared" si="2"/>
        <v>491</v>
      </c>
      <c r="I7" s="107">
        <f t="shared" si="1"/>
        <v>19.648999241652678</v>
      </c>
      <c r="K7" s="84"/>
      <c r="L7" s="84"/>
      <c r="M7" s="84"/>
      <c r="N7" s="84"/>
      <c r="O7" s="84"/>
    </row>
    <row r="8" spans="1:15" ht="17.100000000000001" customHeight="1" x14ac:dyDescent="0.25">
      <c r="A8" s="159" t="s">
        <v>58</v>
      </c>
      <c r="B8" s="108">
        <v>12</v>
      </c>
      <c r="C8" s="109">
        <v>38</v>
      </c>
      <c r="D8" s="110">
        <v>41</v>
      </c>
      <c r="E8" s="109">
        <v>10</v>
      </c>
      <c r="F8" s="110">
        <v>0</v>
      </c>
      <c r="G8" s="111">
        <v>0</v>
      </c>
      <c r="H8" s="106">
        <f t="shared" si="2"/>
        <v>101</v>
      </c>
      <c r="I8" s="107">
        <f t="shared" si="1"/>
        <v>4.0418511678348681</v>
      </c>
      <c r="K8" s="84"/>
      <c r="L8" s="84"/>
      <c r="M8" s="84"/>
      <c r="N8" s="84"/>
      <c r="O8" s="84"/>
    </row>
    <row r="9" spans="1:15" ht="17.100000000000001" customHeight="1" x14ac:dyDescent="0.25">
      <c r="A9" s="32" t="s">
        <v>60</v>
      </c>
      <c r="B9" s="33">
        <f t="shared" ref="B9:G9" si="3">SUM(B10:B13)</f>
        <v>28</v>
      </c>
      <c r="C9" s="34">
        <f t="shared" si="3"/>
        <v>5</v>
      </c>
      <c r="D9" s="31">
        <f t="shared" si="3"/>
        <v>6</v>
      </c>
      <c r="E9" s="34">
        <f t="shared" si="3"/>
        <v>4</v>
      </c>
      <c r="F9" s="31">
        <f t="shared" si="3"/>
        <v>1</v>
      </c>
      <c r="G9" s="35">
        <f t="shared" si="3"/>
        <v>0</v>
      </c>
      <c r="H9" s="36">
        <f t="shared" si="2"/>
        <v>44</v>
      </c>
      <c r="I9" s="62">
        <f t="shared" si="1"/>
        <v>1.760806449353804</v>
      </c>
      <c r="J9" s="37"/>
      <c r="K9" s="84"/>
      <c r="L9" s="84"/>
      <c r="M9" s="84"/>
      <c r="N9" s="84"/>
      <c r="O9" s="84"/>
    </row>
    <row r="10" spans="1:15" ht="17.100000000000001" customHeight="1" x14ac:dyDescent="0.25">
      <c r="A10" s="159" t="s">
        <v>17</v>
      </c>
      <c r="B10" s="102">
        <v>27</v>
      </c>
      <c r="C10" s="103">
        <v>4</v>
      </c>
      <c r="D10" s="104">
        <v>6</v>
      </c>
      <c r="E10" s="103">
        <v>2</v>
      </c>
      <c r="F10" s="104">
        <v>1</v>
      </c>
      <c r="G10" s="105">
        <v>0</v>
      </c>
      <c r="H10" s="106">
        <f t="shared" si="2"/>
        <v>40</v>
      </c>
      <c r="I10" s="107">
        <f t="shared" si="1"/>
        <v>1.6007331357761854</v>
      </c>
      <c r="J10" s="30"/>
      <c r="K10" s="84"/>
      <c r="L10" s="84"/>
      <c r="M10" s="84"/>
      <c r="N10" s="84"/>
      <c r="O10" s="84"/>
    </row>
    <row r="11" spans="1:15" ht="17.100000000000001" customHeight="1" x14ac:dyDescent="0.25">
      <c r="A11" s="159" t="s">
        <v>18</v>
      </c>
      <c r="B11" s="102">
        <v>0</v>
      </c>
      <c r="C11" s="103">
        <v>0</v>
      </c>
      <c r="D11" s="104">
        <v>0</v>
      </c>
      <c r="E11" s="103">
        <v>2</v>
      </c>
      <c r="F11" s="104">
        <v>0</v>
      </c>
      <c r="G11" s="105">
        <v>0</v>
      </c>
      <c r="H11" s="106">
        <f>SUM(B11:G11)</f>
        <v>2</v>
      </c>
      <c r="I11" s="114">
        <f t="shared" si="1"/>
        <v>8.0036656788809266E-2</v>
      </c>
      <c r="J11" s="30"/>
      <c r="K11" s="84"/>
      <c r="L11" s="84"/>
      <c r="M11" s="84"/>
      <c r="N11" s="84"/>
      <c r="O11" s="84"/>
    </row>
    <row r="12" spans="1:15" s="37" customFormat="1" ht="17.100000000000001" customHeight="1" x14ac:dyDescent="0.25">
      <c r="A12" s="159" t="s">
        <v>19</v>
      </c>
      <c r="B12" s="102">
        <v>0</v>
      </c>
      <c r="C12" s="103">
        <v>0</v>
      </c>
      <c r="D12" s="104">
        <v>0</v>
      </c>
      <c r="E12" s="103">
        <v>0</v>
      </c>
      <c r="F12" s="104">
        <v>0</v>
      </c>
      <c r="G12" s="105">
        <v>0</v>
      </c>
      <c r="H12" s="106">
        <f>SUM(B12:G12)</f>
        <v>0</v>
      </c>
      <c r="I12" s="107">
        <f t="shared" si="1"/>
        <v>0</v>
      </c>
      <c r="J12" s="30"/>
      <c r="K12" s="84"/>
      <c r="L12" s="84"/>
      <c r="M12" s="84"/>
      <c r="N12" s="84"/>
      <c r="O12" s="84"/>
    </row>
    <row r="13" spans="1:15" s="30" customFormat="1" ht="17.100000000000001" customHeight="1" x14ac:dyDescent="0.25">
      <c r="A13" s="159" t="s">
        <v>58</v>
      </c>
      <c r="B13" s="102">
        <v>1</v>
      </c>
      <c r="C13" s="103">
        <v>1</v>
      </c>
      <c r="D13" s="104">
        <v>0</v>
      </c>
      <c r="E13" s="103">
        <v>0</v>
      </c>
      <c r="F13" s="104">
        <v>0</v>
      </c>
      <c r="G13" s="105">
        <v>0</v>
      </c>
      <c r="H13" s="106">
        <f>SUM(B13:G13)</f>
        <v>2</v>
      </c>
      <c r="I13" s="156" t="e">
        <f>H13/#REF! * 100000</f>
        <v>#REF!</v>
      </c>
      <c r="J13" s="157"/>
    </row>
    <row r="14" spans="1:15" s="30" customFormat="1" ht="17.100000000000001" customHeight="1" x14ac:dyDescent="0.25">
      <c r="A14" s="32" t="s">
        <v>49</v>
      </c>
      <c r="B14" s="33">
        <f t="shared" ref="B14:G14" si="4">SUM(B15:B18)</f>
        <v>18878</v>
      </c>
      <c r="C14" s="34">
        <f t="shared" si="4"/>
        <v>2437</v>
      </c>
      <c r="D14" s="31">
        <f t="shared" si="4"/>
        <v>6480</v>
      </c>
      <c r="E14" s="34">
        <f t="shared" si="4"/>
        <v>8554</v>
      </c>
      <c r="F14" s="31">
        <f t="shared" si="4"/>
        <v>3810</v>
      </c>
      <c r="G14" s="35">
        <f t="shared" si="4"/>
        <v>7396</v>
      </c>
      <c r="H14" s="36">
        <f t="shared" si="2"/>
        <v>47555</v>
      </c>
      <c r="I14" s="75">
        <f t="shared" ref="I14:I45" si="5">H14/B$71 * 100000</f>
        <v>1903.0716067959124</v>
      </c>
      <c r="J14" s="37"/>
      <c r="K14" s="84"/>
      <c r="L14" s="84"/>
      <c r="M14" s="84"/>
      <c r="N14" s="84"/>
      <c r="O14" s="84"/>
    </row>
    <row r="15" spans="1:15" s="30" customFormat="1" ht="17.100000000000001" customHeight="1" x14ac:dyDescent="0.25">
      <c r="A15" s="159" t="s">
        <v>17</v>
      </c>
      <c r="B15" s="102">
        <v>18850</v>
      </c>
      <c r="C15" s="103">
        <v>2427</v>
      </c>
      <c r="D15" s="104">
        <v>6472</v>
      </c>
      <c r="E15" s="103">
        <v>8539</v>
      </c>
      <c r="F15" s="104">
        <v>3810</v>
      </c>
      <c r="G15" s="105">
        <v>7396</v>
      </c>
      <c r="H15" s="106">
        <f t="shared" si="2"/>
        <v>47494</v>
      </c>
      <c r="I15" s="121">
        <f t="shared" si="5"/>
        <v>1900.6304887638537</v>
      </c>
      <c r="K15" s="84"/>
      <c r="L15" s="84"/>
      <c r="M15" s="84"/>
      <c r="N15" s="84"/>
      <c r="O15" s="84"/>
    </row>
    <row r="16" spans="1:15" s="30" customFormat="1" ht="17.100000000000001" customHeight="1" x14ac:dyDescent="0.25">
      <c r="A16" s="159" t="s">
        <v>18</v>
      </c>
      <c r="B16" s="102">
        <v>1</v>
      </c>
      <c r="C16" s="103">
        <v>4</v>
      </c>
      <c r="D16" s="104">
        <v>2</v>
      </c>
      <c r="E16" s="103">
        <v>1</v>
      </c>
      <c r="F16" s="104">
        <v>0</v>
      </c>
      <c r="G16" s="105">
        <v>0</v>
      </c>
      <c r="H16" s="106">
        <f t="shared" si="2"/>
        <v>8</v>
      </c>
      <c r="I16" s="122">
        <f t="shared" si="5"/>
        <v>0.32014662715523706</v>
      </c>
      <c r="K16" s="84"/>
      <c r="L16" s="84"/>
      <c r="M16" s="84"/>
      <c r="N16" s="84"/>
      <c r="O16" s="84"/>
    </row>
    <row r="17" spans="1:15" ht="17.100000000000001" customHeight="1" x14ac:dyDescent="0.25">
      <c r="A17" s="159" t="s">
        <v>19</v>
      </c>
      <c r="B17" s="102">
        <v>1</v>
      </c>
      <c r="C17" s="103">
        <v>0</v>
      </c>
      <c r="D17" s="104">
        <v>2</v>
      </c>
      <c r="E17" s="103">
        <v>0</v>
      </c>
      <c r="F17" s="104">
        <v>0</v>
      </c>
      <c r="G17" s="105">
        <v>0</v>
      </c>
      <c r="H17" s="106">
        <f>SUM(B17:G17)</f>
        <v>3</v>
      </c>
      <c r="I17" s="122">
        <f t="shared" si="5"/>
        <v>0.12005498518321392</v>
      </c>
      <c r="J17" s="30"/>
      <c r="K17" s="84"/>
      <c r="L17" s="84"/>
      <c r="M17" s="84"/>
      <c r="N17" s="84"/>
      <c r="O17" s="84"/>
    </row>
    <row r="18" spans="1:15" s="37" customFormat="1" ht="17.100000000000001" customHeight="1" x14ac:dyDescent="0.25">
      <c r="A18" s="159" t="s">
        <v>58</v>
      </c>
      <c r="B18" s="115">
        <v>26</v>
      </c>
      <c r="C18" s="116">
        <v>6</v>
      </c>
      <c r="D18" s="117">
        <v>4</v>
      </c>
      <c r="E18" s="116">
        <v>14</v>
      </c>
      <c r="F18" s="117">
        <v>0</v>
      </c>
      <c r="G18" s="118">
        <v>0</v>
      </c>
      <c r="H18" s="119">
        <f>SUM(B18:G18)</f>
        <v>50</v>
      </c>
      <c r="I18" s="123">
        <f t="shared" si="5"/>
        <v>2.0009164197202316</v>
      </c>
      <c r="J18" s="30"/>
      <c r="K18" s="84"/>
      <c r="L18" s="84"/>
      <c r="M18" s="84"/>
      <c r="N18" s="84"/>
      <c r="O18" s="84"/>
    </row>
    <row r="19" spans="1:15" s="30" customFormat="1" ht="17.100000000000001" customHeight="1" x14ac:dyDescent="0.25">
      <c r="A19" s="162" t="s">
        <v>50</v>
      </c>
      <c r="B19" s="33">
        <f t="shared" ref="B19:G19" si="6">SUM(B20:B23)</f>
        <v>65</v>
      </c>
      <c r="C19" s="34">
        <f t="shared" si="6"/>
        <v>51</v>
      </c>
      <c r="D19" s="31">
        <f t="shared" si="6"/>
        <v>109</v>
      </c>
      <c r="E19" s="34">
        <f t="shared" si="6"/>
        <v>77</v>
      </c>
      <c r="F19" s="31">
        <f t="shared" si="6"/>
        <v>13</v>
      </c>
      <c r="G19" s="35">
        <f t="shared" si="6"/>
        <v>14</v>
      </c>
      <c r="H19" s="124">
        <f t="shared" si="2"/>
        <v>329</v>
      </c>
      <c r="I19" s="125">
        <f t="shared" si="5"/>
        <v>13.166030041759125</v>
      </c>
      <c r="K19" s="84"/>
      <c r="L19" s="84"/>
      <c r="M19" s="84"/>
      <c r="N19" s="84"/>
      <c r="O19" s="84"/>
    </row>
    <row r="20" spans="1:15" s="30" customFormat="1" ht="17.100000000000001" customHeight="1" x14ac:dyDescent="0.25">
      <c r="A20" s="159" t="s">
        <v>17</v>
      </c>
      <c r="B20" s="102">
        <v>57</v>
      </c>
      <c r="C20" s="103">
        <v>42</v>
      </c>
      <c r="D20" s="104">
        <v>98</v>
      </c>
      <c r="E20" s="103">
        <v>73</v>
      </c>
      <c r="F20" s="104">
        <v>13</v>
      </c>
      <c r="G20" s="105">
        <v>14</v>
      </c>
      <c r="H20" s="106">
        <f t="shared" si="2"/>
        <v>297</v>
      </c>
      <c r="I20" s="121">
        <f t="shared" si="5"/>
        <v>11.885443533138176</v>
      </c>
      <c r="K20" s="84"/>
      <c r="L20" s="84"/>
      <c r="M20" s="84"/>
      <c r="N20" s="84"/>
      <c r="O20" s="84"/>
    </row>
    <row r="21" spans="1:15" s="30" customFormat="1" ht="17.100000000000001" customHeight="1" x14ac:dyDescent="0.25">
      <c r="A21" s="159" t="s">
        <v>18</v>
      </c>
      <c r="B21" s="102">
        <v>0</v>
      </c>
      <c r="C21" s="103">
        <v>1</v>
      </c>
      <c r="D21" s="104">
        <v>1</v>
      </c>
      <c r="E21" s="103">
        <v>1</v>
      </c>
      <c r="F21" s="104">
        <v>0</v>
      </c>
      <c r="G21" s="105">
        <v>0</v>
      </c>
      <c r="H21" s="106">
        <f t="shared" si="2"/>
        <v>3</v>
      </c>
      <c r="I21" s="122">
        <f t="shared" si="5"/>
        <v>0.12005498518321392</v>
      </c>
      <c r="K21" s="84"/>
      <c r="L21" s="84"/>
      <c r="M21" s="84"/>
      <c r="N21" s="84"/>
      <c r="O21" s="84"/>
    </row>
    <row r="22" spans="1:15" s="30" customFormat="1" ht="17.100000000000001" customHeight="1" x14ac:dyDescent="0.25">
      <c r="A22" s="159" t="s">
        <v>19</v>
      </c>
      <c r="B22" s="102">
        <v>3</v>
      </c>
      <c r="C22" s="103">
        <v>1</v>
      </c>
      <c r="D22" s="104">
        <v>2</v>
      </c>
      <c r="E22" s="103">
        <v>1</v>
      </c>
      <c r="F22" s="104">
        <v>0</v>
      </c>
      <c r="G22" s="105">
        <v>0</v>
      </c>
      <c r="H22" s="106">
        <f t="shared" si="2"/>
        <v>7</v>
      </c>
      <c r="I22" s="122">
        <f t="shared" si="5"/>
        <v>0.28012829876083245</v>
      </c>
      <c r="K22" s="84"/>
      <c r="L22" s="84"/>
      <c r="M22" s="84"/>
      <c r="N22" s="84"/>
      <c r="O22" s="84"/>
    </row>
    <row r="23" spans="1:15" s="30" customFormat="1" ht="17.100000000000001" customHeight="1" x14ac:dyDescent="0.25">
      <c r="A23" s="159" t="s">
        <v>58</v>
      </c>
      <c r="B23" s="102">
        <v>5</v>
      </c>
      <c r="C23" s="103">
        <v>7</v>
      </c>
      <c r="D23" s="104">
        <v>8</v>
      </c>
      <c r="E23" s="103">
        <v>2</v>
      </c>
      <c r="F23" s="104">
        <v>0</v>
      </c>
      <c r="G23" s="105">
        <v>0</v>
      </c>
      <c r="H23" s="119">
        <f t="shared" si="2"/>
        <v>22</v>
      </c>
      <c r="I23" s="123">
        <f t="shared" si="5"/>
        <v>0.88040322467690202</v>
      </c>
      <c r="K23" s="84"/>
      <c r="L23" s="84"/>
      <c r="M23" s="84"/>
      <c r="N23" s="84"/>
      <c r="O23" s="84"/>
    </row>
    <row r="24" spans="1:15" s="30" customFormat="1" ht="17.100000000000001" customHeight="1" x14ac:dyDescent="0.25">
      <c r="A24" s="162" t="s">
        <v>51</v>
      </c>
      <c r="B24" s="33">
        <f t="shared" ref="B24:G24" si="7">SUM(B25:B28)</f>
        <v>574</v>
      </c>
      <c r="C24" s="34">
        <f t="shared" si="7"/>
        <v>199</v>
      </c>
      <c r="D24" s="31">
        <f t="shared" si="7"/>
        <v>553</v>
      </c>
      <c r="E24" s="34">
        <f t="shared" si="7"/>
        <v>380</v>
      </c>
      <c r="F24" s="31">
        <f t="shared" si="7"/>
        <v>82</v>
      </c>
      <c r="G24" s="35">
        <f t="shared" si="7"/>
        <v>58</v>
      </c>
      <c r="H24" s="124">
        <f t="shared" si="2"/>
        <v>1846</v>
      </c>
      <c r="I24" s="125">
        <f t="shared" si="5"/>
        <v>73.873834216070961</v>
      </c>
      <c r="K24" s="84"/>
      <c r="L24" s="84"/>
      <c r="M24" s="84"/>
      <c r="N24" s="84"/>
      <c r="O24" s="84"/>
    </row>
    <row r="25" spans="1:15" s="30" customFormat="1" ht="17.100000000000001" customHeight="1" x14ac:dyDescent="0.25">
      <c r="A25" s="159" t="s">
        <v>17</v>
      </c>
      <c r="B25" s="102">
        <v>573</v>
      </c>
      <c r="C25" s="103">
        <v>196</v>
      </c>
      <c r="D25" s="104">
        <v>551</v>
      </c>
      <c r="E25" s="103">
        <v>375</v>
      </c>
      <c r="F25" s="104">
        <v>82</v>
      </c>
      <c r="G25" s="105">
        <v>56</v>
      </c>
      <c r="H25" s="106">
        <f>SUM(B25:G25)</f>
        <v>1833</v>
      </c>
      <c r="I25" s="121">
        <f t="shared" si="5"/>
        <v>73.353595946943699</v>
      </c>
      <c r="K25" s="84"/>
      <c r="L25" s="84"/>
      <c r="M25" s="84"/>
      <c r="N25" s="84"/>
      <c r="O25" s="84"/>
    </row>
    <row r="26" spans="1:15" s="30" customFormat="1" ht="17.100000000000001" customHeight="1" x14ac:dyDescent="0.25">
      <c r="A26" s="159" t="s">
        <v>18</v>
      </c>
      <c r="B26" s="102">
        <v>0</v>
      </c>
      <c r="C26" s="103">
        <v>0</v>
      </c>
      <c r="D26" s="104">
        <v>0</v>
      </c>
      <c r="E26" s="103">
        <v>0</v>
      </c>
      <c r="F26" s="104">
        <v>0</v>
      </c>
      <c r="G26" s="105">
        <v>0</v>
      </c>
      <c r="H26" s="106">
        <f>SUM(B26:G26)</f>
        <v>0</v>
      </c>
      <c r="I26" s="121">
        <f t="shared" si="5"/>
        <v>0</v>
      </c>
      <c r="K26" s="84"/>
      <c r="L26" s="84"/>
      <c r="M26" s="84"/>
      <c r="N26" s="84"/>
      <c r="O26" s="84"/>
    </row>
    <row r="27" spans="1:15" s="30" customFormat="1" ht="17.100000000000001" customHeight="1" x14ac:dyDescent="0.25">
      <c r="A27" s="159" t="s">
        <v>19</v>
      </c>
      <c r="B27" s="102">
        <v>1</v>
      </c>
      <c r="C27" s="103">
        <v>2</v>
      </c>
      <c r="D27" s="104">
        <v>1</v>
      </c>
      <c r="E27" s="103">
        <v>0</v>
      </c>
      <c r="F27" s="104">
        <v>0</v>
      </c>
      <c r="G27" s="105">
        <v>2</v>
      </c>
      <c r="H27" s="106">
        <f>SUM(B27:G27)</f>
        <v>6</v>
      </c>
      <c r="I27" s="122">
        <f t="shared" si="5"/>
        <v>0.24010997036642784</v>
      </c>
      <c r="K27" s="84"/>
      <c r="L27" s="84"/>
      <c r="M27" s="84"/>
      <c r="N27" s="84"/>
      <c r="O27" s="84"/>
    </row>
    <row r="28" spans="1:15" s="30" customFormat="1" ht="17.100000000000001" customHeight="1" x14ac:dyDescent="0.25">
      <c r="A28" s="159" t="s">
        <v>58</v>
      </c>
      <c r="B28" s="127">
        <v>0</v>
      </c>
      <c r="C28" s="128">
        <v>1</v>
      </c>
      <c r="D28" s="129">
        <v>1</v>
      </c>
      <c r="E28" s="128">
        <v>5</v>
      </c>
      <c r="F28" s="129">
        <v>0</v>
      </c>
      <c r="G28" s="130">
        <v>0</v>
      </c>
      <c r="H28" s="131">
        <f t="shared" si="2"/>
        <v>7</v>
      </c>
      <c r="I28" s="132">
        <f t="shared" si="5"/>
        <v>0.28012829876083245</v>
      </c>
      <c r="J28" s="1"/>
      <c r="K28" s="84"/>
      <c r="L28" s="84"/>
      <c r="M28" s="84"/>
      <c r="N28" s="84"/>
      <c r="O28" s="84"/>
    </row>
    <row r="29" spans="1:15" s="37" customFormat="1" ht="17.100000000000001" customHeight="1" x14ac:dyDescent="0.25">
      <c r="A29" s="32" t="s">
        <v>52</v>
      </c>
      <c r="B29" s="33">
        <f t="shared" ref="B29:G29" si="8">SUM(B30:B33)</f>
        <v>32</v>
      </c>
      <c r="C29" s="34">
        <f t="shared" si="8"/>
        <v>116</v>
      </c>
      <c r="D29" s="31">
        <f t="shared" si="8"/>
        <v>97</v>
      </c>
      <c r="E29" s="34">
        <f t="shared" si="8"/>
        <v>29</v>
      </c>
      <c r="F29" s="31">
        <f t="shared" si="8"/>
        <v>4</v>
      </c>
      <c r="G29" s="35">
        <f t="shared" si="8"/>
        <v>0</v>
      </c>
      <c r="H29" s="36">
        <f t="shared" si="2"/>
        <v>278</v>
      </c>
      <c r="I29" s="75">
        <f t="shared" si="5"/>
        <v>11.125095293644488</v>
      </c>
      <c r="K29" s="84"/>
      <c r="L29" s="84"/>
      <c r="M29" s="84"/>
      <c r="N29" s="84"/>
      <c r="O29" s="84"/>
    </row>
    <row r="30" spans="1:15" s="30" customFormat="1" ht="17.100000000000001" customHeight="1" x14ac:dyDescent="0.25">
      <c r="A30" s="159" t="s">
        <v>17</v>
      </c>
      <c r="B30" s="102">
        <v>8</v>
      </c>
      <c r="C30" s="103">
        <v>49</v>
      </c>
      <c r="D30" s="104">
        <v>37</v>
      </c>
      <c r="E30" s="103">
        <v>10</v>
      </c>
      <c r="F30" s="104">
        <v>0</v>
      </c>
      <c r="G30" s="105">
        <v>0</v>
      </c>
      <c r="H30" s="106">
        <f t="shared" si="2"/>
        <v>104</v>
      </c>
      <c r="I30" s="121">
        <f t="shared" si="5"/>
        <v>4.1619061530180819</v>
      </c>
      <c r="K30" s="84"/>
      <c r="L30" s="84"/>
      <c r="M30" s="84"/>
      <c r="N30" s="84"/>
      <c r="O30" s="84"/>
    </row>
    <row r="31" spans="1:15" s="30" customFormat="1" ht="17.100000000000001" customHeight="1" x14ac:dyDescent="0.25">
      <c r="A31" s="159" t="s">
        <v>18</v>
      </c>
      <c r="B31" s="102">
        <v>0</v>
      </c>
      <c r="C31" s="103">
        <v>1</v>
      </c>
      <c r="D31" s="104">
        <v>0</v>
      </c>
      <c r="E31" s="103">
        <v>1</v>
      </c>
      <c r="F31" s="104">
        <v>0</v>
      </c>
      <c r="G31" s="105">
        <v>0</v>
      </c>
      <c r="H31" s="106">
        <f t="shared" si="2"/>
        <v>2</v>
      </c>
      <c r="I31" s="122">
        <f t="shared" si="5"/>
        <v>8.0036656788809266E-2</v>
      </c>
      <c r="K31" s="84"/>
      <c r="L31" s="84"/>
      <c r="M31" s="84"/>
      <c r="N31" s="84"/>
      <c r="O31" s="84"/>
    </row>
    <row r="32" spans="1:15" s="30" customFormat="1" ht="17.100000000000001" customHeight="1" x14ac:dyDescent="0.25">
      <c r="A32" s="159" t="s">
        <v>19</v>
      </c>
      <c r="B32" s="102">
        <v>19</v>
      </c>
      <c r="C32" s="103">
        <v>49</v>
      </c>
      <c r="D32" s="104">
        <v>52</v>
      </c>
      <c r="E32" s="103">
        <v>16</v>
      </c>
      <c r="F32" s="104">
        <v>4</v>
      </c>
      <c r="G32" s="105">
        <v>0</v>
      </c>
      <c r="H32" s="106">
        <f t="shared" si="2"/>
        <v>140</v>
      </c>
      <c r="I32" s="121">
        <f t="shared" si="5"/>
        <v>5.602565975216649</v>
      </c>
      <c r="K32" s="84"/>
      <c r="L32" s="84"/>
      <c r="M32" s="84"/>
      <c r="N32" s="84"/>
      <c r="O32" s="84"/>
    </row>
    <row r="33" spans="1:15" s="30" customFormat="1" ht="17.100000000000001" customHeight="1" x14ac:dyDescent="0.25">
      <c r="A33" s="160" t="s">
        <v>58</v>
      </c>
      <c r="B33" s="102">
        <v>5</v>
      </c>
      <c r="C33" s="103">
        <v>17</v>
      </c>
      <c r="D33" s="104">
        <v>8</v>
      </c>
      <c r="E33" s="103">
        <v>2</v>
      </c>
      <c r="F33" s="104">
        <v>0</v>
      </c>
      <c r="G33" s="105">
        <v>0</v>
      </c>
      <c r="H33" s="106">
        <f t="shared" si="2"/>
        <v>32</v>
      </c>
      <c r="I33" s="121">
        <f t="shared" si="5"/>
        <v>1.2805865086209482</v>
      </c>
      <c r="K33" s="84"/>
      <c r="L33" s="84"/>
      <c r="M33" s="84"/>
      <c r="N33" s="84"/>
      <c r="O33" s="84"/>
    </row>
    <row r="34" spans="1:15" s="30" customFormat="1" ht="17.100000000000001" customHeight="1" x14ac:dyDescent="0.25">
      <c r="A34" s="39" t="s">
        <v>12</v>
      </c>
      <c r="B34" s="40">
        <v>6</v>
      </c>
      <c r="C34" s="41">
        <v>19</v>
      </c>
      <c r="D34" s="42">
        <v>110</v>
      </c>
      <c r="E34" s="41">
        <v>75</v>
      </c>
      <c r="F34" s="42">
        <v>14</v>
      </c>
      <c r="G34" s="43">
        <v>6</v>
      </c>
      <c r="H34" s="44">
        <f t="shared" si="2"/>
        <v>230</v>
      </c>
      <c r="I34" s="76">
        <f t="shared" si="5"/>
        <v>9.204215530713066</v>
      </c>
      <c r="J34" s="37"/>
      <c r="K34" s="84"/>
      <c r="L34" s="84"/>
      <c r="M34" s="84"/>
      <c r="N34" s="84"/>
      <c r="O34" s="84"/>
    </row>
    <row r="35" spans="1:15" s="30" customFormat="1" ht="17.100000000000001" customHeight="1" x14ac:dyDescent="0.25">
      <c r="A35" s="32" t="s">
        <v>53</v>
      </c>
      <c r="B35" s="33">
        <f>SUM(B36+B42+B43+B44)</f>
        <v>2023</v>
      </c>
      <c r="C35" s="34">
        <f t="shared" ref="C35:H35" si="9">SUM(C36+C42+C43+C44)</f>
        <v>3471</v>
      </c>
      <c r="D35" s="31">
        <f t="shared" si="9"/>
        <v>5919</v>
      </c>
      <c r="E35" s="34">
        <f t="shared" si="9"/>
        <v>3782</v>
      </c>
      <c r="F35" s="31">
        <f t="shared" si="9"/>
        <v>843</v>
      </c>
      <c r="G35" s="35">
        <f t="shared" si="9"/>
        <v>540</v>
      </c>
      <c r="H35" s="36">
        <f t="shared" si="9"/>
        <v>16578</v>
      </c>
      <c r="I35" s="75">
        <f t="shared" si="5"/>
        <v>663.42384812244006</v>
      </c>
      <c r="J35" s="37"/>
      <c r="K35" s="84"/>
      <c r="L35" s="84"/>
      <c r="M35" s="84"/>
      <c r="N35" s="84"/>
      <c r="O35" s="84"/>
    </row>
    <row r="36" spans="1:15" s="30" customFormat="1" ht="17.100000000000001" customHeight="1" x14ac:dyDescent="0.25">
      <c r="A36" s="159" t="s">
        <v>17</v>
      </c>
      <c r="B36" s="102">
        <f t="shared" ref="B36:G36" si="10">SUM(B37:B41)</f>
        <v>2022</v>
      </c>
      <c r="C36" s="103">
        <f t="shared" si="10"/>
        <v>3468</v>
      </c>
      <c r="D36" s="104">
        <f t="shared" si="10"/>
        <v>5915</v>
      </c>
      <c r="E36" s="103">
        <f t="shared" si="10"/>
        <v>3781</v>
      </c>
      <c r="F36" s="104">
        <f t="shared" si="10"/>
        <v>842</v>
      </c>
      <c r="G36" s="105">
        <f t="shared" si="10"/>
        <v>540</v>
      </c>
      <c r="H36" s="106">
        <f t="shared" si="2"/>
        <v>16568</v>
      </c>
      <c r="I36" s="121">
        <f t="shared" si="5"/>
        <v>663.02366483849607</v>
      </c>
      <c r="K36" s="84"/>
      <c r="L36" s="84"/>
      <c r="M36" s="84"/>
      <c r="N36" s="84"/>
      <c r="O36" s="84"/>
    </row>
    <row r="37" spans="1:15" s="30" customFormat="1" ht="17.100000000000001" customHeight="1" x14ac:dyDescent="0.25">
      <c r="A37" s="159" t="s">
        <v>24</v>
      </c>
      <c r="B37" s="102">
        <v>1557</v>
      </c>
      <c r="C37" s="103">
        <v>2725</v>
      </c>
      <c r="D37" s="104">
        <v>4448</v>
      </c>
      <c r="E37" s="103">
        <v>2877</v>
      </c>
      <c r="F37" s="104">
        <v>649</v>
      </c>
      <c r="G37" s="105">
        <v>424</v>
      </c>
      <c r="H37" s="106">
        <f t="shared" si="2"/>
        <v>12680</v>
      </c>
      <c r="I37" s="121">
        <f t="shared" si="5"/>
        <v>507.4324040410508</v>
      </c>
      <c r="K37" s="84"/>
      <c r="L37" s="84"/>
      <c r="M37" s="84"/>
      <c r="N37" s="84"/>
      <c r="O37" s="84"/>
    </row>
    <row r="38" spans="1:15" s="30" customFormat="1" ht="17.100000000000001" customHeight="1" x14ac:dyDescent="0.25">
      <c r="A38" s="159" t="s">
        <v>25</v>
      </c>
      <c r="B38" s="102">
        <v>63</v>
      </c>
      <c r="C38" s="103">
        <v>185</v>
      </c>
      <c r="D38" s="104">
        <v>335</v>
      </c>
      <c r="E38" s="103">
        <v>125</v>
      </c>
      <c r="F38" s="104">
        <v>11</v>
      </c>
      <c r="G38" s="105">
        <v>1</v>
      </c>
      <c r="H38" s="106">
        <f t="shared" si="2"/>
        <v>720</v>
      </c>
      <c r="I38" s="121">
        <f t="shared" si="5"/>
        <v>28.813196443971339</v>
      </c>
      <c r="K38" s="84"/>
      <c r="L38" s="84"/>
      <c r="M38" s="84"/>
      <c r="N38" s="84"/>
      <c r="O38" s="84"/>
    </row>
    <row r="39" spans="1:15" s="30" customFormat="1" ht="17.100000000000001" customHeight="1" x14ac:dyDescent="0.25">
      <c r="A39" s="159" t="s">
        <v>26</v>
      </c>
      <c r="B39" s="102">
        <v>74</v>
      </c>
      <c r="C39" s="103">
        <v>64</v>
      </c>
      <c r="D39" s="104">
        <v>144</v>
      </c>
      <c r="E39" s="103">
        <v>98</v>
      </c>
      <c r="F39" s="104">
        <v>15</v>
      </c>
      <c r="G39" s="105">
        <v>4</v>
      </c>
      <c r="H39" s="106">
        <f t="shared" si="2"/>
        <v>399</v>
      </c>
      <c r="I39" s="121">
        <f t="shared" si="5"/>
        <v>15.96731302936745</v>
      </c>
      <c r="K39" s="84"/>
      <c r="L39" s="84"/>
      <c r="M39" s="84"/>
      <c r="N39" s="84"/>
      <c r="O39" s="84"/>
    </row>
    <row r="40" spans="1:15" s="30" customFormat="1" ht="17.100000000000001" customHeight="1" x14ac:dyDescent="0.25">
      <c r="A40" s="159" t="s">
        <v>27</v>
      </c>
      <c r="B40" s="102">
        <v>166</v>
      </c>
      <c r="C40" s="103">
        <v>136</v>
      </c>
      <c r="D40" s="104">
        <v>281</v>
      </c>
      <c r="E40" s="103">
        <v>248</v>
      </c>
      <c r="F40" s="104">
        <v>60</v>
      </c>
      <c r="G40" s="105">
        <v>46</v>
      </c>
      <c r="H40" s="106">
        <f t="shared" si="2"/>
        <v>937</v>
      </c>
      <c r="I40" s="121">
        <f t="shared" si="5"/>
        <v>37.497173705557145</v>
      </c>
      <c r="K40" s="84"/>
      <c r="L40" s="84"/>
      <c r="M40" s="84"/>
      <c r="N40" s="84"/>
      <c r="O40" s="84"/>
    </row>
    <row r="41" spans="1:15" s="30" customFormat="1" ht="17.100000000000001" customHeight="1" x14ac:dyDescent="0.25">
      <c r="A41" s="159" t="s">
        <v>28</v>
      </c>
      <c r="B41" s="102">
        <v>162</v>
      </c>
      <c r="C41" s="103">
        <v>358</v>
      </c>
      <c r="D41" s="104">
        <v>707</v>
      </c>
      <c r="E41" s="103">
        <v>433</v>
      </c>
      <c r="F41" s="104">
        <v>107</v>
      </c>
      <c r="G41" s="105">
        <v>65</v>
      </c>
      <c r="H41" s="106">
        <f t="shared" si="2"/>
        <v>1832</v>
      </c>
      <c r="I41" s="121">
        <f t="shared" si="5"/>
        <v>73.313577618549289</v>
      </c>
      <c r="K41" s="84"/>
      <c r="L41" s="84"/>
      <c r="M41" s="84"/>
      <c r="N41" s="84"/>
      <c r="O41" s="84"/>
    </row>
    <row r="42" spans="1:15" ht="17.100000000000001" customHeight="1" x14ac:dyDescent="0.25">
      <c r="A42" s="159" t="s">
        <v>18</v>
      </c>
      <c r="B42" s="102">
        <v>0</v>
      </c>
      <c r="C42" s="103">
        <v>0</v>
      </c>
      <c r="D42" s="104">
        <v>2</v>
      </c>
      <c r="E42" s="103">
        <v>0</v>
      </c>
      <c r="F42" s="104">
        <v>0</v>
      </c>
      <c r="G42" s="105">
        <v>0</v>
      </c>
      <c r="H42" s="106">
        <f t="shared" si="2"/>
        <v>2</v>
      </c>
      <c r="I42" s="122">
        <f t="shared" si="5"/>
        <v>8.0036656788809266E-2</v>
      </c>
      <c r="J42" s="30"/>
      <c r="K42" s="84"/>
      <c r="L42" s="84"/>
      <c r="M42" s="84"/>
      <c r="N42" s="84"/>
      <c r="O42" s="84"/>
    </row>
    <row r="43" spans="1:15" ht="17.100000000000001" customHeight="1" x14ac:dyDescent="0.25">
      <c r="A43" s="159" t="s">
        <v>19</v>
      </c>
      <c r="B43" s="133">
        <v>0</v>
      </c>
      <c r="C43" s="134">
        <v>2</v>
      </c>
      <c r="D43" s="135">
        <v>2</v>
      </c>
      <c r="E43" s="134">
        <v>1</v>
      </c>
      <c r="F43" s="135">
        <v>0</v>
      </c>
      <c r="G43" s="136">
        <v>0</v>
      </c>
      <c r="H43" s="106">
        <f>SUM(B43:G43)</f>
        <v>5</v>
      </c>
      <c r="I43" s="122">
        <f t="shared" si="5"/>
        <v>0.20009164197202317</v>
      </c>
      <c r="J43" s="30"/>
      <c r="K43" s="84"/>
      <c r="L43" s="84"/>
      <c r="M43" s="84"/>
      <c r="N43" s="84"/>
      <c r="O43" s="84"/>
    </row>
    <row r="44" spans="1:15" ht="17.100000000000001" customHeight="1" x14ac:dyDescent="0.25">
      <c r="A44" s="159" t="s">
        <v>58</v>
      </c>
      <c r="B44" s="137">
        <v>1</v>
      </c>
      <c r="C44" s="138">
        <v>1</v>
      </c>
      <c r="D44" s="139">
        <v>0</v>
      </c>
      <c r="E44" s="138">
        <v>0</v>
      </c>
      <c r="F44" s="139">
        <v>1</v>
      </c>
      <c r="G44" s="140">
        <v>0</v>
      </c>
      <c r="H44" s="141">
        <f>SUM(B44:G44)</f>
        <v>3</v>
      </c>
      <c r="I44" s="152">
        <f t="shared" si="5"/>
        <v>0.12005498518321392</v>
      </c>
      <c r="K44" s="84"/>
      <c r="L44" s="84"/>
      <c r="M44" s="84"/>
      <c r="N44" s="84"/>
      <c r="O44" s="84"/>
    </row>
    <row r="45" spans="1:15" s="37" customFormat="1" ht="17.100000000000001" customHeight="1" x14ac:dyDescent="0.25">
      <c r="A45" s="39" t="s">
        <v>32</v>
      </c>
      <c r="B45" s="40">
        <v>708</v>
      </c>
      <c r="C45" s="41">
        <v>126</v>
      </c>
      <c r="D45" s="42">
        <v>335</v>
      </c>
      <c r="E45" s="41">
        <v>297</v>
      </c>
      <c r="F45" s="42">
        <v>37</v>
      </c>
      <c r="G45" s="43">
        <v>13</v>
      </c>
      <c r="H45" s="44">
        <f t="shared" si="2"/>
        <v>1516</v>
      </c>
      <c r="I45" s="76">
        <f t="shared" si="5"/>
        <v>60.667785845917429</v>
      </c>
      <c r="K45" s="84"/>
      <c r="L45" s="84"/>
      <c r="M45" s="84"/>
      <c r="N45" s="84"/>
      <c r="O45" s="84"/>
    </row>
    <row r="46" spans="1:15" s="30" customFormat="1" ht="17.100000000000001" customHeight="1" x14ac:dyDescent="0.25">
      <c r="A46" s="39" t="s">
        <v>33</v>
      </c>
      <c r="B46" s="40">
        <v>17</v>
      </c>
      <c r="C46" s="41">
        <v>2</v>
      </c>
      <c r="D46" s="42">
        <v>8</v>
      </c>
      <c r="E46" s="41">
        <v>12</v>
      </c>
      <c r="F46" s="42">
        <v>5</v>
      </c>
      <c r="G46" s="43">
        <v>5</v>
      </c>
      <c r="H46" s="44">
        <f t="shared" si="2"/>
        <v>49</v>
      </c>
      <c r="I46" s="76">
        <f t="shared" ref="I46:I70" si="11">H46/B$71 * 100000</f>
        <v>1.9608980913258272</v>
      </c>
      <c r="J46" s="37"/>
      <c r="K46" s="84"/>
      <c r="L46" s="84"/>
      <c r="M46" s="84"/>
      <c r="N46" s="84"/>
      <c r="O46" s="84"/>
    </row>
    <row r="47" spans="1:15" s="30" customFormat="1" ht="17.100000000000001" customHeight="1" x14ac:dyDescent="0.25">
      <c r="A47" s="32" t="s">
        <v>47</v>
      </c>
      <c r="B47" s="33">
        <f t="shared" ref="B47:G47" si="12">SUM(B48:B51)</f>
        <v>143</v>
      </c>
      <c r="C47" s="34">
        <f t="shared" si="12"/>
        <v>103</v>
      </c>
      <c r="D47" s="31">
        <f t="shared" si="12"/>
        <v>177</v>
      </c>
      <c r="E47" s="34">
        <f t="shared" si="12"/>
        <v>95</v>
      </c>
      <c r="F47" s="31">
        <f t="shared" si="12"/>
        <v>15</v>
      </c>
      <c r="G47" s="35">
        <f t="shared" si="12"/>
        <v>16</v>
      </c>
      <c r="H47" s="36">
        <f t="shared" si="2"/>
        <v>549</v>
      </c>
      <c r="I47" s="75">
        <f t="shared" si="11"/>
        <v>21.970062288528148</v>
      </c>
      <c r="J47" s="37"/>
      <c r="K47" s="84"/>
      <c r="L47" s="84"/>
      <c r="M47" s="84"/>
      <c r="N47" s="84"/>
      <c r="O47" s="84"/>
    </row>
    <row r="48" spans="1:15" s="30" customFormat="1" ht="17.100000000000001" customHeight="1" x14ac:dyDescent="0.25">
      <c r="A48" s="159" t="s">
        <v>17</v>
      </c>
      <c r="B48" s="102">
        <v>143</v>
      </c>
      <c r="C48" s="103">
        <v>103</v>
      </c>
      <c r="D48" s="104">
        <v>177</v>
      </c>
      <c r="E48" s="103">
        <v>95</v>
      </c>
      <c r="F48" s="104">
        <v>15</v>
      </c>
      <c r="G48" s="105">
        <v>16</v>
      </c>
      <c r="H48" s="106">
        <f t="shared" si="2"/>
        <v>549</v>
      </c>
      <c r="I48" s="121">
        <f t="shared" si="11"/>
        <v>21.970062288528148</v>
      </c>
      <c r="K48" s="84"/>
      <c r="L48" s="84"/>
      <c r="M48" s="84"/>
      <c r="N48" s="84"/>
      <c r="O48" s="84"/>
    </row>
    <row r="49" spans="1:16" s="30" customFormat="1" ht="17.100000000000001" customHeight="1" x14ac:dyDescent="0.25">
      <c r="A49" s="160" t="s">
        <v>18</v>
      </c>
      <c r="B49" s="108">
        <v>0</v>
      </c>
      <c r="C49" s="109">
        <v>0</v>
      </c>
      <c r="D49" s="110">
        <v>0</v>
      </c>
      <c r="E49" s="109">
        <v>0</v>
      </c>
      <c r="F49" s="110">
        <v>0</v>
      </c>
      <c r="G49" s="111">
        <v>0</v>
      </c>
      <c r="H49" s="112">
        <f t="shared" si="2"/>
        <v>0</v>
      </c>
      <c r="I49" s="143">
        <f t="shared" si="11"/>
        <v>0</v>
      </c>
      <c r="J49" s="1"/>
      <c r="K49" s="84"/>
      <c r="L49" s="84"/>
      <c r="M49" s="84"/>
      <c r="N49" s="84"/>
      <c r="O49" s="84"/>
    </row>
    <row r="50" spans="1:16" s="30" customFormat="1" ht="17.100000000000001" customHeight="1" x14ac:dyDescent="0.25">
      <c r="A50" s="159" t="s">
        <v>19</v>
      </c>
      <c r="B50" s="108">
        <v>0</v>
      </c>
      <c r="C50" s="109">
        <v>0</v>
      </c>
      <c r="D50" s="110">
        <v>0</v>
      </c>
      <c r="E50" s="109">
        <v>0</v>
      </c>
      <c r="F50" s="110">
        <v>0</v>
      </c>
      <c r="G50" s="111">
        <v>0</v>
      </c>
      <c r="H50" s="112">
        <f t="shared" si="2"/>
        <v>0</v>
      </c>
      <c r="I50" s="143">
        <f t="shared" si="11"/>
        <v>0</v>
      </c>
      <c r="J50" s="1"/>
      <c r="K50" s="84"/>
      <c r="L50" s="84"/>
      <c r="M50" s="84"/>
      <c r="N50" s="84"/>
      <c r="O50" s="84"/>
    </row>
    <row r="51" spans="1:16" s="37" customFormat="1" ht="17.100000000000001" customHeight="1" x14ac:dyDescent="0.25">
      <c r="A51" s="159" t="s">
        <v>58</v>
      </c>
      <c r="B51" s="144">
        <v>0</v>
      </c>
      <c r="C51" s="116">
        <v>0</v>
      </c>
      <c r="D51" s="116">
        <v>0</v>
      </c>
      <c r="E51" s="116">
        <v>0</v>
      </c>
      <c r="F51" s="116">
        <v>0</v>
      </c>
      <c r="G51" s="118">
        <v>0</v>
      </c>
      <c r="H51" s="119">
        <f t="shared" si="2"/>
        <v>0</v>
      </c>
      <c r="I51" s="123">
        <f t="shared" si="11"/>
        <v>0</v>
      </c>
      <c r="J51" s="1"/>
      <c r="K51" s="84"/>
      <c r="L51" s="84"/>
      <c r="M51" s="84"/>
      <c r="N51" s="84"/>
      <c r="O51" s="84"/>
    </row>
    <row r="52" spans="1:16" s="37" customFormat="1" ht="17.100000000000001" customHeight="1" x14ac:dyDescent="0.25">
      <c r="A52" s="45" t="s">
        <v>46</v>
      </c>
      <c r="B52" s="46">
        <f t="shared" ref="B52:G52" si="13">SUM(B53:B54)</f>
        <v>3174</v>
      </c>
      <c r="C52" s="46">
        <f t="shared" si="13"/>
        <v>610</v>
      </c>
      <c r="D52" s="46">
        <f t="shared" si="13"/>
        <v>1318</v>
      </c>
      <c r="E52" s="46">
        <f t="shared" si="13"/>
        <v>1085</v>
      </c>
      <c r="F52" s="46">
        <f t="shared" si="13"/>
        <v>278</v>
      </c>
      <c r="G52" s="46">
        <f t="shared" si="13"/>
        <v>212</v>
      </c>
      <c r="H52" s="50">
        <f>SUM(B52:G52)</f>
        <v>6677</v>
      </c>
      <c r="I52" s="61">
        <f t="shared" si="11"/>
        <v>267.20237868943974</v>
      </c>
      <c r="K52" s="84"/>
      <c r="L52" s="84"/>
      <c r="M52" s="84"/>
      <c r="N52" s="84"/>
      <c r="O52" s="84"/>
    </row>
    <row r="53" spans="1:16" s="30" customFormat="1" ht="17.100000000000001" customHeight="1" x14ac:dyDescent="0.25">
      <c r="A53" s="159" t="s">
        <v>30</v>
      </c>
      <c r="B53" s="78">
        <v>3071</v>
      </c>
      <c r="C53" s="79">
        <v>561</v>
      </c>
      <c r="D53" s="80">
        <v>1187</v>
      </c>
      <c r="E53" s="79">
        <v>999</v>
      </c>
      <c r="F53" s="80">
        <v>250</v>
      </c>
      <c r="G53" s="81">
        <v>175</v>
      </c>
      <c r="H53" s="82">
        <f>SUM(B53:G53)</f>
        <v>6243</v>
      </c>
      <c r="I53" s="83">
        <f t="shared" si="11"/>
        <v>249.83442416626815</v>
      </c>
      <c r="J53" s="37"/>
      <c r="K53" s="84"/>
      <c r="L53" s="84"/>
      <c r="M53" s="84"/>
      <c r="N53" s="84"/>
      <c r="O53" s="84"/>
    </row>
    <row r="54" spans="1:16" s="30" customFormat="1" ht="17.100000000000001" customHeight="1" x14ac:dyDescent="0.25">
      <c r="A54" s="159" t="s">
        <v>31</v>
      </c>
      <c r="B54" s="78">
        <v>103</v>
      </c>
      <c r="C54" s="79">
        <v>49</v>
      </c>
      <c r="D54" s="80">
        <v>131</v>
      </c>
      <c r="E54" s="79">
        <v>86</v>
      </c>
      <c r="F54" s="80">
        <v>28</v>
      </c>
      <c r="G54" s="81">
        <v>37</v>
      </c>
      <c r="H54" s="82">
        <f>SUM(B54:G54)</f>
        <v>434</v>
      </c>
      <c r="I54" s="83">
        <f t="shared" si="11"/>
        <v>17.367954523171612</v>
      </c>
      <c r="J54" s="37"/>
      <c r="K54" s="84"/>
      <c r="L54" s="84"/>
      <c r="M54" s="84"/>
      <c r="N54" s="84"/>
      <c r="O54" s="84"/>
    </row>
    <row r="55" spans="1:16" s="30" customFormat="1" ht="17.100000000000001" customHeight="1" x14ac:dyDescent="0.25">
      <c r="A55" s="39" t="s">
        <v>11</v>
      </c>
      <c r="B55" s="40">
        <v>3989</v>
      </c>
      <c r="C55" s="41">
        <v>1558</v>
      </c>
      <c r="D55" s="42">
        <v>3755</v>
      </c>
      <c r="E55" s="41">
        <v>2574</v>
      </c>
      <c r="F55" s="42">
        <v>473</v>
      </c>
      <c r="G55" s="43">
        <v>304</v>
      </c>
      <c r="H55" s="44">
        <f>SUM(B55:G55)</f>
        <v>12653</v>
      </c>
      <c r="I55" s="76">
        <f t="shared" si="11"/>
        <v>506.35190917440184</v>
      </c>
      <c r="J55" s="37"/>
      <c r="K55" s="84"/>
      <c r="L55" s="84"/>
      <c r="M55" s="84"/>
      <c r="N55" s="84"/>
      <c r="O55" s="84"/>
    </row>
    <row r="56" spans="1:16" s="30" customFormat="1" ht="17.100000000000001" customHeight="1" x14ac:dyDescent="0.25">
      <c r="A56" s="32" t="s">
        <v>45</v>
      </c>
      <c r="B56" s="33">
        <f>SUM(B57:B60)</f>
        <v>959</v>
      </c>
      <c r="C56" s="33">
        <f t="shared" ref="C56:H56" si="14">SUM(C57:C60)</f>
        <v>350</v>
      </c>
      <c r="D56" s="33">
        <f t="shared" si="14"/>
        <v>631</v>
      </c>
      <c r="E56" s="33">
        <f t="shared" si="14"/>
        <v>462</v>
      </c>
      <c r="F56" s="33">
        <f t="shared" si="14"/>
        <v>92</v>
      </c>
      <c r="G56" s="33">
        <f t="shared" si="14"/>
        <v>93</v>
      </c>
      <c r="H56" s="33">
        <f t="shared" si="14"/>
        <v>2587</v>
      </c>
      <c r="I56" s="75">
        <f t="shared" si="11"/>
        <v>103.5274155563248</v>
      </c>
      <c r="J56" s="37"/>
      <c r="K56" s="84"/>
      <c r="L56" s="84"/>
      <c r="M56" s="84"/>
      <c r="N56" s="84"/>
      <c r="O56" s="84"/>
    </row>
    <row r="57" spans="1:16" s="30" customFormat="1" ht="17.100000000000001" customHeight="1" x14ac:dyDescent="0.25">
      <c r="A57" s="159" t="s">
        <v>1</v>
      </c>
      <c r="B57" s="145">
        <v>714</v>
      </c>
      <c r="C57" s="146">
        <v>112</v>
      </c>
      <c r="D57" s="147">
        <v>233</v>
      </c>
      <c r="E57" s="148">
        <v>211</v>
      </c>
      <c r="F57" s="147">
        <v>65</v>
      </c>
      <c r="G57" s="149">
        <v>66</v>
      </c>
      <c r="H57" s="106">
        <f t="shared" si="2"/>
        <v>1401</v>
      </c>
      <c r="I57" s="121">
        <f t="shared" si="11"/>
        <v>56.065678080560893</v>
      </c>
      <c r="K57" s="88"/>
      <c r="L57" s="88"/>
      <c r="M57" s="88"/>
      <c r="N57" s="88"/>
      <c r="O57" s="88"/>
      <c r="P57" s="95"/>
    </row>
    <row r="58" spans="1:16" s="30" customFormat="1" ht="17.100000000000001" customHeight="1" x14ac:dyDescent="0.25">
      <c r="A58" s="159" t="s">
        <v>22</v>
      </c>
      <c r="B58" s="102">
        <v>120</v>
      </c>
      <c r="C58" s="103">
        <v>133</v>
      </c>
      <c r="D58" s="104">
        <v>251</v>
      </c>
      <c r="E58" s="103">
        <v>144</v>
      </c>
      <c r="F58" s="104">
        <v>10</v>
      </c>
      <c r="G58" s="105">
        <v>8</v>
      </c>
      <c r="H58" s="106">
        <f t="shared" si="2"/>
        <v>666</v>
      </c>
      <c r="I58" s="121">
        <f t="shared" si="11"/>
        <v>26.652206710673486</v>
      </c>
      <c r="K58" s="88"/>
      <c r="L58" s="88"/>
      <c r="M58" s="88"/>
      <c r="N58" s="88"/>
      <c r="O58" s="88"/>
      <c r="P58" s="95"/>
    </row>
    <row r="59" spans="1:16" ht="17.100000000000001" customHeight="1" x14ac:dyDescent="0.25">
      <c r="A59" s="159" t="s">
        <v>23</v>
      </c>
      <c r="B59" s="102">
        <v>3</v>
      </c>
      <c r="C59" s="103">
        <v>2</v>
      </c>
      <c r="D59" s="104">
        <v>1</v>
      </c>
      <c r="E59" s="103">
        <v>1</v>
      </c>
      <c r="F59" s="104">
        <v>0</v>
      </c>
      <c r="G59" s="105">
        <v>0</v>
      </c>
      <c r="H59" s="106">
        <f>SUM(B59:G59)</f>
        <v>7</v>
      </c>
      <c r="I59" s="122">
        <f t="shared" si="11"/>
        <v>0.28012829876083245</v>
      </c>
      <c r="J59" s="30"/>
      <c r="K59" s="88"/>
      <c r="L59" s="88"/>
      <c r="M59" s="88"/>
      <c r="N59" s="88"/>
      <c r="O59" s="88"/>
      <c r="P59" s="19"/>
    </row>
    <row r="60" spans="1:16" s="37" customFormat="1" ht="17.100000000000001" customHeight="1" x14ac:dyDescent="0.25">
      <c r="A60" s="159" t="s">
        <v>59</v>
      </c>
      <c r="B60" s="145">
        <v>122</v>
      </c>
      <c r="C60" s="148">
        <v>103</v>
      </c>
      <c r="D60" s="147">
        <v>146</v>
      </c>
      <c r="E60" s="148">
        <v>106</v>
      </c>
      <c r="F60" s="147">
        <v>17</v>
      </c>
      <c r="G60" s="149">
        <v>19</v>
      </c>
      <c r="H60" s="106">
        <f t="shared" si="2"/>
        <v>513</v>
      </c>
      <c r="I60" s="121">
        <f t="shared" si="11"/>
        <v>20.529402466329579</v>
      </c>
      <c r="J60" s="30"/>
      <c r="K60" s="88"/>
      <c r="L60" s="88"/>
      <c r="M60" s="88"/>
      <c r="N60" s="88"/>
      <c r="O60" s="88"/>
      <c r="P60" s="96"/>
    </row>
    <row r="61" spans="1:16" ht="17.100000000000001" customHeight="1" x14ac:dyDescent="0.25">
      <c r="A61" s="32" t="s">
        <v>42</v>
      </c>
      <c r="B61" s="33">
        <f t="shared" ref="B61:G61" si="15">SUM(B62:B65)</f>
        <v>9916</v>
      </c>
      <c r="C61" s="34">
        <f t="shared" si="15"/>
        <v>3029</v>
      </c>
      <c r="D61" s="31">
        <f t="shared" si="15"/>
        <v>5357</v>
      </c>
      <c r="E61" s="34">
        <f t="shared" si="15"/>
        <v>2837</v>
      </c>
      <c r="F61" s="31">
        <f t="shared" si="15"/>
        <v>522</v>
      </c>
      <c r="G61" s="35">
        <f t="shared" si="15"/>
        <v>524</v>
      </c>
      <c r="H61" s="36">
        <f t="shared" ref="H61:H70" si="16">SUM(B61:G61)</f>
        <v>22185</v>
      </c>
      <c r="I61" s="75">
        <f t="shared" si="11"/>
        <v>887.80661542986684</v>
      </c>
      <c r="J61" s="37"/>
      <c r="K61" s="89"/>
      <c r="L61" s="89"/>
      <c r="M61" s="89"/>
      <c r="N61" s="89"/>
      <c r="O61" s="89"/>
      <c r="P61" s="19"/>
    </row>
    <row r="62" spans="1:16" s="37" customFormat="1" ht="17.100000000000001" customHeight="1" x14ac:dyDescent="0.25">
      <c r="A62" s="159" t="s">
        <v>1</v>
      </c>
      <c r="B62" s="145">
        <v>9314</v>
      </c>
      <c r="C62" s="148">
        <v>2103</v>
      </c>
      <c r="D62" s="147">
        <v>3972</v>
      </c>
      <c r="E62" s="148">
        <v>2287</v>
      </c>
      <c r="F62" s="147">
        <v>489</v>
      </c>
      <c r="G62" s="149">
        <v>506</v>
      </c>
      <c r="H62" s="106">
        <f t="shared" si="16"/>
        <v>18671</v>
      </c>
      <c r="I62" s="121">
        <f t="shared" si="11"/>
        <v>747.182209451929</v>
      </c>
      <c r="J62" s="30"/>
    </row>
    <row r="63" spans="1:16" s="30" customFormat="1" ht="17.100000000000001" customHeight="1" x14ac:dyDescent="0.25">
      <c r="A63" s="159" t="s">
        <v>22</v>
      </c>
      <c r="B63" s="102">
        <v>0</v>
      </c>
      <c r="C63" s="103">
        <v>0</v>
      </c>
      <c r="D63" s="104">
        <v>0</v>
      </c>
      <c r="E63" s="103">
        <v>0</v>
      </c>
      <c r="F63" s="104">
        <v>0</v>
      </c>
      <c r="G63" s="105">
        <v>0</v>
      </c>
      <c r="H63" s="106">
        <f t="shared" si="16"/>
        <v>0</v>
      </c>
      <c r="I63" s="121">
        <f t="shared" si="11"/>
        <v>0</v>
      </c>
    </row>
    <row r="64" spans="1:16" s="30" customFormat="1" ht="17.100000000000001" customHeight="1" x14ac:dyDescent="0.25">
      <c r="A64" s="159" t="s">
        <v>23</v>
      </c>
      <c r="B64" s="145">
        <v>532</v>
      </c>
      <c r="C64" s="148">
        <v>837</v>
      </c>
      <c r="D64" s="147">
        <v>1205</v>
      </c>
      <c r="E64" s="148">
        <v>485</v>
      </c>
      <c r="F64" s="147">
        <v>30</v>
      </c>
      <c r="G64" s="149">
        <v>18</v>
      </c>
      <c r="H64" s="131">
        <f>SUM(B64:G64)</f>
        <v>3107</v>
      </c>
      <c r="I64" s="150">
        <f t="shared" si="11"/>
        <v>124.33694632141521</v>
      </c>
    </row>
    <row r="65" spans="1:15" s="37" customFormat="1" ht="17.100000000000001" customHeight="1" x14ac:dyDescent="0.25">
      <c r="A65" s="159" t="s">
        <v>59</v>
      </c>
      <c r="B65" s="145">
        <v>70</v>
      </c>
      <c r="C65" s="148">
        <v>89</v>
      </c>
      <c r="D65" s="147">
        <v>180</v>
      </c>
      <c r="E65" s="148">
        <v>65</v>
      </c>
      <c r="F65" s="147">
        <v>3</v>
      </c>
      <c r="G65" s="149">
        <v>0</v>
      </c>
      <c r="H65" s="106">
        <f t="shared" si="16"/>
        <v>407</v>
      </c>
      <c r="I65" s="121">
        <f t="shared" si="11"/>
        <v>16.287459656522689</v>
      </c>
      <c r="J65" s="30"/>
    </row>
    <row r="66" spans="1:15" s="30" customFormat="1" ht="17.100000000000001" customHeight="1" x14ac:dyDescent="0.25">
      <c r="A66" s="32" t="s">
        <v>41</v>
      </c>
      <c r="B66" s="33">
        <f t="shared" ref="B66:G66" si="17">SUM(B67:B70)</f>
        <v>15</v>
      </c>
      <c r="C66" s="34">
        <f t="shared" si="17"/>
        <v>6</v>
      </c>
      <c r="D66" s="31">
        <f t="shared" si="17"/>
        <v>17</v>
      </c>
      <c r="E66" s="34">
        <f t="shared" si="17"/>
        <v>15</v>
      </c>
      <c r="F66" s="31">
        <f t="shared" si="17"/>
        <v>5</v>
      </c>
      <c r="G66" s="35">
        <f t="shared" si="17"/>
        <v>6</v>
      </c>
      <c r="H66" s="36">
        <f t="shared" si="16"/>
        <v>64</v>
      </c>
      <c r="I66" s="75">
        <f t="shared" si="11"/>
        <v>2.5611730172418965</v>
      </c>
      <c r="J66" s="37"/>
      <c r="K66" s="84"/>
      <c r="L66" s="84"/>
      <c r="M66" s="84"/>
      <c r="N66" s="84"/>
      <c r="O66" s="84"/>
    </row>
    <row r="67" spans="1:15" s="30" customFormat="1" ht="17.100000000000001" customHeight="1" x14ac:dyDescent="0.25">
      <c r="A67" s="159" t="s">
        <v>17</v>
      </c>
      <c r="B67" s="102">
        <v>12</v>
      </c>
      <c r="C67" s="103">
        <v>1</v>
      </c>
      <c r="D67" s="104">
        <v>1</v>
      </c>
      <c r="E67" s="103">
        <v>7</v>
      </c>
      <c r="F67" s="104">
        <v>5</v>
      </c>
      <c r="G67" s="105">
        <v>6</v>
      </c>
      <c r="H67" s="106">
        <f t="shared" si="16"/>
        <v>32</v>
      </c>
      <c r="I67" s="121">
        <f t="shared" si="11"/>
        <v>1.2805865086209482</v>
      </c>
      <c r="K67" s="84"/>
      <c r="L67" s="84"/>
      <c r="M67" s="84"/>
      <c r="N67" s="84"/>
      <c r="O67" s="84"/>
    </row>
    <row r="68" spans="1:15" s="30" customFormat="1" ht="17.100000000000001" customHeight="1" x14ac:dyDescent="0.25">
      <c r="A68" s="160" t="s">
        <v>18</v>
      </c>
      <c r="B68" s="145">
        <v>2</v>
      </c>
      <c r="C68" s="148">
        <v>3</v>
      </c>
      <c r="D68" s="147">
        <v>12</v>
      </c>
      <c r="E68" s="148">
        <v>6</v>
      </c>
      <c r="F68" s="147">
        <v>0</v>
      </c>
      <c r="G68" s="149">
        <v>0</v>
      </c>
      <c r="H68" s="106">
        <f t="shared" si="16"/>
        <v>23</v>
      </c>
      <c r="I68" s="121">
        <f t="shared" si="11"/>
        <v>0.92042155307130669</v>
      </c>
      <c r="K68" s="84"/>
      <c r="L68" s="84"/>
      <c r="M68" s="84"/>
      <c r="N68" s="84"/>
      <c r="O68" s="84"/>
    </row>
    <row r="69" spans="1:15" s="30" customFormat="1" ht="17.100000000000001" customHeight="1" x14ac:dyDescent="0.25">
      <c r="A69" s="159" t="s">
        <v>19</v>
      </c>
      <c r="B69" s="102">
        <v>1</v>
      </c>
      <c r="C69" s="103">
        <v>2</v>
      </c>
      <c r="D69" s="104">
        <v>4</v>
      </c>
      <c r="E69" s="103">
        <v>2</v>
      </c>
      <c r="F69" s="104">
        <v>0</v>
      </c>
      <c r="G69" s="105">
        <v>0</v>
      </c>
      <c r="H69" s="106">
        <f t="shared" si="16"/>
        <v>9</v>
      </c>
      <c r="I69" s="122">
        <f t="shared" si="11"/>
        <v>0.36016495554964173</v>
      </c>
      <c r="K69" s="84"/>
      <c r="L69" s="84"/>
      <c r="M69" s="84"/>
      <c r="N69" s="84"/>
      <c r="O69" s="84"/>
    </row>
    <row r="70" spans="1:15" s="30" customFormat="1" ht="17.100000000000001" customHeight="1" x14ac:dyDescent="0.25">
      <c r="A70" s="159" t="s">
        <v>58</v>
      </c>
      <c r="B70" s="102">
        <v>0</v>
      </c>
      <c r="C70" s="103">
        <v>0</v>
      </c>
      <c r="D70" s="104">
        <v>0</v>
      </c>
      <c r="E70" s="103">
        <v>0</v>
      </c>
      <c r="F70" s="147">
        <v>0</v>
      </c>
      <c r="G70" s="149">
        <v>0</v>
      </c>
      <c r="H70" s="106">
        <f t="shared" si="16"/>
        <v>0</v>
      </c>
      <c r="I70" s="122">
        <f t="shared" si="11"/>
        <v>0</v>
      </c>
      <c r="J70" s="1"/>
      <c r="K70" s="84"/>
      <c r="L70" s="84"/>
      <c r="M70" s="84"/>
      <c r="N70" s="84"/>
      <c r="O70" s="84"/>
    </row>
    <row r="71" spans="1:15" s="30" customFormat="1" ht="27.95" customHeight="1" x14ac:dyDescent="0.2">
      <c r="A71" s="69" t="s">
        <v>62</v>
      </c>
      <c r="B71" s="207">
        <v>2498855</v>
      </c>
      <c r="C71" s="207"/>
      <c r="D71" s="68"/>
      <c r="E71" s="68"/>
      <c r="F71" s="68"/>
      <c r="G71" s="68"/>
      <c r="H71" s="68"/>
      <c r="I71" s="68"/>
      <c r="J71" s="1"/>
      <c r="K71" s="87"/>
      <c r="L71" s="87"/>
      <c r="M71" s="87"/>
      <c r="N71" s="87"/>
      <c r="O71" s="84"/>
    </row>
    <row r="72" spans="1:15" s="30" customFormat="1" ht="27.95" customHeight="1" x14ac:dyDescent="0.2">
      <c r="A72" s="69" t="s">
        <v>13</v>
      </c>
      <c r="B72" s="70"/>
      <c r="C72" s="71"/>
      <c r="D72" s="72"/>
      <c r="E72" s="70"/>
      <c r="F72" s="71"/>
      <c r="G72" s="73"/>
      <c r="H72" s="69"/>
      <c r="I72" s="69"/>
      <c r="J72" s="1"/>
      <c r="K72" s="84"/>
      <c r="L72" s="84"/>
      <c r="M72" s="84"/>
      <c r="N72" s="84"/>
      <c r="O72" s="84"/>
    </row>
    <row r="73" spans="1:15" s="30" customFormat="1" ht="27.95" customHeight="1" x14ac:dyDescent="0.2">
      <c r="A73" s="208" t="s">
        <v>14</v>
      </c>
      <c r="B73" s="209"/>
      <c r="C73" s="209"/>
      <c r="D73" s="209"/>
      <c r="E73" s="209"/>
      <c r="F73" s="209"/>
      <c r="G73" s="209"/>
      <c r="H73" s="209"/>
      <c r="I73" s="209"/>
      <c r="J73" s="1"/>
      <c r="K73" s="84"/>
      <c r="L73" s="84"/>
      <c r="M73" s="84"/>
      <c r="N73" s="84"/>
      <c r="O73" s="84"/>
    </row>
    <row r="74" spans="1:15" s="30" customFormat="1" ht="27.95" customHeight="1" x14ac:dyDescent="0.2">
      <c r="A74" s="74" t="s">
        <v>81</v>
      </c>
      <c r="B74" s="70"/>
      <c r="C74" s="71"/>
      <c r="D74" s="72"/>
      <c r="E74" s="70"/>
      <c r="F74" s="71"/>
      <c r="G74" s="73"/>
      <c r="H74" s="69"/>
      <c r="I74" s="69"/>
      <c r="J74" s="1"/>
      <c r="K74" s="1"/>
      <c r="L74" s="1"/>
      <c r="M74" s="1"/>
      <c r="N74" s="1"/>
      <c r="O74" s="1"/>
    </row>
    <row r="75" spans="1:15" s="30" customFormat="1" x14ac:dyDescent="0.2">
      <c r="A75" s="1"/>
      <c r="B75" s="11"/>
      <c r="C75" s="2"/>
      <c r="D75" s="22"/>
      <c r="E75" s="11"/>
      <c r="F75" s="2"/>
      <c r="G75" s="1"/>
      <c r="H75" s="1"/>
      <c r="I75" s="1"/>
      <c r="J75" s="1"/>
      <c r="K75" s="1"/>
      <c r="L75" s="1"/>
      <c r="M75" s="1"/>
      <c r="N75" s="1"/>
      <c r="O75" s="1"/>
    </row>
    <row r="76" spans="1:15" s="30" customFormat="1" x14ac:dyDescent="0.2">
      <c r="A76" s="1"/>
      <c r="B76" s="64"/>
      <c r="C76" s="63"/>
      <c r="D76" s="63"/>
      <c r="E76" s="64"/>
      <c r="F76" s="64"/>
      <c r="G76" s="63"/>
      <c r="H76" s="63"/>
      <c r="I76" s="1"/>
      <c r="J76" s="1"/>
      <c r="K76" s="1"/>
      <c r="L76" s="1"/>
      <c r="M76" s="1"/>
      <c r="N76" s="1"/>
      <c r="O76" s="1"/>
    </row>
    <row r="77" spans="1:15" s="30" customFormat="1" ht="15" customHeight="1" x14ac:dyDescent="0.2">
      <c r="A77" s="1"/>
      <c r="B77" s="64"/>
      <c r="C77" s="63"/>
      <c r="D77" s="63"/>
      <c r="E77" s="64"/>
      <c r="F77" s="63"/>
      <c r="G77" s="63"/>
      <c r="H77" s="63"/>
      <c r="I77" s="1"/>
      <c r="J77" s="1"/>
      <c r="K77" s="1"/>
      <c r="L77" s="1"/>
      <c r="M77" s="1"/>
      <c r="N77" s="1"/>
      <c r="O77" s="1"/>
    </row>
    <row r="78" spans="1:15" s="30" customFormat="1" x14ac:dyDescent="0.2">
      <c r="A78" s="1"/>
      <c r="B78" s="63"/>
      <c r="C78" s="63"/>
      <c r="D78" s="63"/>
      <c r="E78" s="64"/>
      <c r="F78" s="63"/>
      <c r="G78" s="63"/>
      <c r="H78" s="63"/>
      <c r="I78" s="1"/>
      <c r="J78" s="21"/>
      <c r="K78" s="1"/>
      <c r="L78" s="1"/>
      <c r="M78" s="1"/>
      <c r="N78" s="1"/>
      <c r="O78" s="1"/>
    </row>
    <row r="79" spans="1:15" x14ac:dyDescent="0.2">
      <c r="B79" s="64"/>
      <c r="C79" s="63"/>
      <c r="D79" s="63"/>
      <c r="E79" s="64"/>
      <c r="F79" s="63"/>
      <c r="G79" s="63"/>
      <c r="H79" s="63"/>
      <c r="J79" s="9"/>
    </row>
    <row r="80" spans="1:15" s="37" customFormat="1" ht="21" customHeight="1" x14ac:dyDescent="0.25">
      <c r="A80" s="1"/>
      <c r="B80" s="64"/>
      <c r="C80" s="63"/>
      <c r="D80" s="67"/>
      <c r="E80" s="64"/>
      <c r="F80" s="63"/>
      <c r="G80" s="67"/>
      <c r="H80" s="63"/>
      <c r="I80" s="1"/>
      <c r="J80" s="9"/>
      <c r="K80" s="1"/>
      <c r="L80" s="1"/>
      <c r="M80" s="1"/>
      <c r="N80" s="1"/>
      <c r="O80" s="1"/>
    </row>
    <row r="81" spans="1:15" s="30" customFormat="1" x14ac:dyDescent="0.2">
      <c r="A81" s="1"/>
      <c r="B81" s="64"/>
      <c r="C81" s="63"/>
      <c r="D81" s="67"/>
      <c r="E81" s="64"/>
      <c r="F81" s="63"/>
      <c r="G81" s="67"/>
      <c r="H81" s="63"/>
      <c r="I81" s="1"/>
      <c r="J81" s="9"/>
      <c r="K81" s="1"/>
      <c r="L81" s="1"/>
      <c r="M81" s="1"/>
      <c r="N81" s="1"/>
      <c r="O81" s="1"/>
    </row>
    <row r="82" spans="1:15" s="30" customFormat="1" x14ac:dyDescent="0.2">
      <c r="A82" s="1"/>
      <c r="B82" s="64"/>
      <c r="C82" s="63"/>
      <c r="D82" s="67"/>
      <c r="E82" s="64"/>
      <c r="F82" s="63"/>
      <c r="G82" s="67"/>
      <c r="H82" s="63"/>
      <c r="I82" s="1"/>
      <c r="J82" s="9"/>
      <c r="K82" s="1"/>
      <c r="L82" s="1"/>
      <c r="M82" s="1"/>
      <c r="N82" s="1"/>
      <c r="O82" s="1"/>
    </row>
    <row r="83" spans="1:15" s="30" customFormat="1" ht="15" customHeight="1" x14ac:dyDescent="0.2">
      <c r="A83" s="1"/>
      <c r="B83" s="66"/>
      <c r="C83" s="19"/>
      <c r="D83" s="65"/>
      <c r="E83" s="66"/>
      <c r="F83" s="19"/>
      <c r="G83" s="19"/>
      <c r="H83" s="19"/>
      <c r="I83" s="1"/>
      <c r="J83" s="1"/>
      <c r="K83" s="1"/>
      <c r="L83" s="1"/>
      <c r="M83" s="1"/>
      <c r="N83" s="1"/>
      <c r="O83" s="1"/>
    </row>
    <row r="84" spans="1:15" x14ac:dyDescent="0.2">
      <c r="B84" s="11"/>
      <c r="C84" s="12"/>
      <c r="D84" s="23"/>
      <c r="E84" s="11"/>
      <c r="F84" s="12"/>
      <c r="G84" s="13"/>
    </row>
    <row r="85" spans="1:15" s="37" customFormat="1" ht="21" customHeight="1" x14ac:dyDescent="0.25">
      <c r="A85" s="1"/>
      <c r="B85" s="11"/>
      <c r="C85" s="12"/>
      <c r="D85" s="23"/>
      <c r="E85" s="11"/>
      <c r="F85" s="12"/>
      <c r="G85" s="13"/>
      <c r="H85" s="1"/>
      <c r="I85" s="1"/>
      <c r="J85" s="1"/>
      <c r="K85" s="1"/>
      <c r="L85" s="1"/>
      <c r="M85" s="1"/>
      <c r="N85" s="1"/>
      <c r="O85" s="1"/>
    </row>
    <row r="86" spans="1:15" s="30" customFormat="1" x14ac:dyDescent="0.2">
      <c r="A86" s="1"/>
      <c r="B86" s="11"/>
      <c r="C86" s="12"/>
      <c r="D86" s="23"/>
      <c r="E86" s="11"/>
      <c r="F86" s="12"/>
      <c r="G86" s="13"/>
      <c r="H86" s="1"/>
      <c r="I86" s="1"/>
      <c r="J86" s="1"/>
      <c r="K86" s="1"/>
      <c r="L86" s="1"/>
      <c r="M86" s="1"/>
      <c r="N86" s="1"/>
      <c r="O86" s="1"/>
    </row>
    <row r="87" spans="1:15" s="30" customFormat="1" x14ac:dyDescent="0.2">
      <c r="A87" s="1"/>
      <c r="B87" s="11"/>
      <c r="C87" s="12"/>
      <c r="D87" s="23"/>
      <c r="E87" s="11"/>
      <c r="F87" s="12"/>
      <c r="G87" s="13"/>
      <c r="H87" s="1"/>
      <c r="I87" s="1"/>
      <c r="J87" s="1"/>
      <c r="K87" s="1"/>
      <c r="L87" s="1"/>
      <c r="M87" s="1"/>
      <c r="N87" s="1"/>
      <c r="O87" s="1"/>
    </row>
    <row r="88" spans="1:15" s="30" customFormat="1" x14ac:dyDescent="0.2">
      <c r="A88" s="1"/>
      <c r="B88" s="11"/>
      <c r="C88" s="12"/>
      <c r="D88" s="23"/>
      <c r="E88" s="11"/>
      <c r="F88" s="12"/>
      <c r="G88" s="13"/>
      <c r="H88" s="1"/>
      <c r="I88" s="1"/>
      <c r="J88" s="1"/>
      <c r="K88" s="1"/>
      <c r="L88" s="1"/>
      <c r="M88" s="1"/>
      <c r="N88" s="1"/>
      <c r="O88" s="1"/>
    </row>
    <row r="89" spans="1:15" s="30" customFormat="1" x14ac:dyDescent="0.2">
      <c r="A89" s="1"/>
      <c r="B89" s="11"/>
      <c r="C89" s="1"/>
      <c r="D89" s="22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30" customFormat="1" x14ac:dyDescent="0.2">
      <c r="A90" s="1"/>
      <c r="B90" s="11"/>
      <c r="C90" s="12"/>
      <c r="D90" s="23"/>
      <c r="E90" s="11"/>
      <c r="F90" s="12"/>
      <c r="G90" s="13"/>
      <c r="H90" s="1"/>
      <c r="I90" s="1"/>
      <c r="J90" s="1"/>
      <c r="K90" s="1"/>
      <c r="L90" s="1"/>
      <c r="M90" s="1"/>
      <c r="N90" s="1"/>
      <c r="O90" s="1"/>
    </row>
    <row r="91" spans="1:15" s="37" customFormat="1" ht="21" customHeight="1" x14ac:dyDescent="0.25">
      <c r="A91" s="1"/>
      <c r="B91" s="11"/>
      <c r="C91" s="12"/>
      <c r="D91" s="23"/>
      <c r="E91" s="11"/>
      <c r="F91" s="12"/>
      <c r="G91" s="13"/>
      <c r="H91" s="1"/>
      <c r="I91" s="1"/>
      <c r="J91" s="1"/>
      <c r="K91" s="1"/>
      <c r="L91" s="1"/>
      <c r="M91" s="1"/>
      <c r="N91" s="1"/>
      <c r="O91" s="1"/>
    </row>
    <row r="92" spans="1:15" s="37" customFormat="1" ht="21" customHeight="1" x14ac:dyDescent="0.25">
      <c r="A92" s="1"/>
      <c r="B92" s="11"/>
      <c r="C92" s="12"/>
      <c r="D92" s="23"/>
      <c r="E92" s="11"/>
      <c r="F92" s="12"/>
      <c r="G92" s="13"/>
      <c r="H92" s="1"/>
      <c r="I92" s="1"/>
      <c r="J92" s="1"/>
      <c r="K92" s="1"/>
      <c r="L92" s="1"/>
      <c r="M92" s="1"/>
      <c r="N92" s="1"/>
      <c r="O92" s="1"/>
    </row>
    <row r="93" spans="1:15" s="37" customFormat="1" ht="21" customHeight="1" x14ac:dyDescent="0.25">
      <c r="A93" s="1"/>
      <c r="B93" s="11"/>
      <c r="C93" s="12"/>
      <c r="D93" s="23"/>
      <c r="E93" s="11"/>
      <c r="F93" s="12"/>
      <c r="G93" s="13"/>
      <c r="H93" s="1"/>
      <c r="I93" s="1"/>
      <c r="J93" s="1"/>
      <c r="K93" s="1"/>
      <c r="L93" s="1"/>
      <c r="M93" s="1"/>
      <c r="N93" s="1"/>
      <c r="O93" s="1"/>
    </row>
    <row r="94" spans="1:15" s="37" customFormat="1" ht="21" customHeight="1" x14ac:dyDescent="0.25">
      <c r="A94" s="1"/>
      <c r="B94" s="11"/>
      <c r="C94" s="12"/>
      <c r="D94" s="23"/>
      <c r="E94" s="11"/>
      <c r="F94" s="12"/>
      <c r="G94" s="13"/>
      <c r="H94" s="1"/>
      <c r="I94" s="1"/>
      <c r="J94" s="1"/>
      <c r="K94" s="1"/>
      <c r="L94" s="1"/>
      <c r="M94" s="1"/>
      <c r="N94" s="1"/>
      <c r="O94" s="1"/>
    </row>
    <row r="95" spans="1:15" s="37" customFormat="1" ht="21" customHeight="1" x14ac:dyDescent="0.25">
      <c r="A95" s="1"/>
      <c r="B95" s="11"/>
      <c r="C95" s="12"/>
      <c r="D95" s="22"/>
      <c r="E95" s="11"/>
      <c r="F95" s="12"/>
      <c r="G95" s="1"/>
      <c r="H95" s="1"/>
      <c r="I95" s="1"/>
      <c r="J95" s="1"/>
      <c r="K95" s="1"/>
      <c r="L95" s="1"/>
      <c r="M95" s="1"/>
      <c r="N95" s="1"/>
      <c r="O95" s="1"/>
    </row>
    <row r="96" spans="1:15" s="37" customFormat="1" ht="21" customHeight="1" x14ac:dyDescent="0.25">
      <c r="A96" s="1"/>
      <c r="B96" s="3"/>
      <c r="C96" s="12"/>
      <c r="D96" s="22"/>
      <c r="E96" s="3"/>
      <c r="F96" s="12"/>
      <c r="G96" s="1"/>
      <c r="H96" s="1"/>
      <c r="I96" s="1"/>
      <c r="J96" s="1"/>
      <c r="K96" s="1"/>
      <c r="L96" s="1"/>
      <c r="M96" s="1"/>
      <c r="N96" s="1"/>
      <c r="O96" s="1"/>
    </row>
    <row r="97" spans="1:15" s="37" customFormat="1" ht="21" customHeight="1" x14ac:dyDescent="0.25">
      <c r="A97" s="1"/>
      <c r="B97" s="3"/>
      <c r="C97" s="12"/>
      <c r="D97" s="22"/>
      <c r="E97" s="3"/>
      <c r="F97" s="12"/>
      <c r="G97" s="1"/>
      <c r="H97" s="1"/>
      <c r="I97" s="1"/>
      <c r="J97" s="1"/>
      <c r="K97" s="1"/>
      <c r="L97" s="1"/>
      <c r="M97" s="1"/>
      <c r="N97" s="1"/>
      <c r="O97" s="1"/>
    </row>
    <row r="98" spans="1:15" ht="33.75" customHeight="1" x14ac:dyDescent="0.2">
      <c r="B98" s="3"/>
      <c r="E98" s="3"/>
    </row>
    <row r="99" spans="1:15" ht="22.5" customHeight="1" x14ac:dyDescent="0.2">
      <c r="B99" s="3"/>
      <c r="E99" s="3"/>
    </row>
    <row r="100" spans="1:15" ht="27.75" customHeight="1" x14ac:dyDescent="0.2">
      <c r="B100" s="14"/>
      <c r="C100" s="5"/>
      <c r="D100" s="24"/>
      <c r="E100" s="14"/>
      <c r="F100" s="5"/>
      <c r="G100" s="5"/>
    </row>
    <row r="101" spans="1:15" ht="16.5" customHeight="1" x14ac:dyDescent="0.2">
      <c r="B101" s="3"/>
      <c r="D101" s="24"/>
      <c r="E101" s="3"/>
      <c r="G101" s="5"/>
    </row>
    <row r="102" spans="1:15" ht="24" customHeight="1" x14ac:dyDescent="0.2">
      <c r="B102" s="3"/>
      <c r="D102" s="24"/>
      <c r="E102" s="3"/>
      <c r="G102" s="5"/>
    </row>
    <row r="103" spans="1:15" ht="15.75" x14ac:dyDescent="0.25">
      <c r="A103" s="15"/>
      <c r="B103" s="3"/>
      <c r="E103" s="3"/>
    </row>
    <row r="104" spans="1:15" ht="15.75" x14ac:dyDescent="0.25">
      <c r="A104" s="15"/>
      <c r="B104" s="3"/>
      <c r="E104" s="3"/>
      <c r="H104" s="3"/>
    </row>
    <row r="105" spans="1:15" ht="15.75" x14ac:dyDescent="0.25">
      <c r="A105" s="15"/>
      <c r="B105" s="3"/>
      <c r="C105" s="12"/>
      <c r="D105" s="23"/>
      <c r="E105" s="3"/>
      <c r="F105" s="12"/>
      <c r="G105" s="13"/>
      <c r="I105" s="13"/>
      <c r="J105" s="7"/>
    </row>
    <row r="106" spans="1:15" x14ac:dyDescent="0.2">
      <c r="B106" s="3"/>
      <c r="C106" s="12"/>
      <c r="D106" s="23"/>
      <c r="E106" s="3"/>
      <c r="F106" s="12"/>
      <c r="G106" s="13"/>
    </row>
    <row r="107" spans="1:15" x14ac:dyDescent="0.2">
      <c r="B107" s="3"/>
      <c r="C107" s="12"/>
      <c r="D107" s="23"/>
      <c r="E107" s="3"/>
      <c r="F107" s="12"/>
      <c r="G107" s="13"/>
    </row>
    <row r="108" spans="1:15" x14ac:dyDescent="0.2">
      <c r="B108" s="3"/>
      <c r="C108" s="12"/>
      <c r="D108" s="23"/>
      <c r="E108" s="3"/>
      <c r="F108" s="12"/>
      <c r="G108" s="13"/>
    </row>
    <row r="109" spans="1:15" x14ac:dyDescent="0.2">
      <c r="B109" s="3"/>
      <c r="C109" s="12"/>
      <c r="D109" s="23"/>
      <c r="E109" s="3"/>
      <c r="F109" s="12"/>
      <c r="G109" s="13"/>
    </row>
    <row r="110" spans="1:15" ht="15.75" x14ac:dyDescent="0.25">
      <c r="A110" s="6"/>
      <c r="B110" s="3"/>
      <c r="C110" s="12"/>
      <c r="D110" s="23"/>
      <c r="E110" s="3"/>
      <c r="F110" s="12"/>
      <c r="G110" s="13"/>
    </row>
    <row r="111" spans="1:15" x14ac:dyDescent="0.2">
      <c r="B111" s="3"/>
      <c r="E111" s="3"/>
    </row>
    <row r="112" spans="1:15" ht="15.75" x14ac:dyDescent="0.25">
      <c r="A112" s="6"/>
      <c r="B112" s="3"/>
      <c r="E112" s="3"/>
    </row>
    <row r="113" spans="1:5" ht="15.75" x14ac:dyDescent="0.2">
      <c r="A113" s="4"/>
      <c r="B113" s="3"/>
      <c r="E113" s="3"/>
    </row>
    <row r="114" spans="1:5" x14ac:dyDescent="0.2">
      <c r="B114" s="3"/>
      <c r="E114" s="3"/>
    </row>
    <row r="115" spans="1:5" ht="15.75" x14ac:dyDescent="0.25">
      <c r="A115" s="6"/>
      <c r="B115" s="3"/>
      <c r="E115" s="3"/>
    </row>
    <row r="116" spans="1:5" x14ac:dyDescent="0.2">
      <c r="B116" s="3"/>
      <c r="E116" s="3"/>
    </row>
    <row r="117" spans="1:5" x14ac:dyDescent="0.2"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A123" s="10"/>
      <c r="B123" s="3"/>
      <c r="E123" s="3"/>
    </row>
    <row r="124" spans="1:5" x14ac:dyDescent="0.2">
      <c r="B124" s="3"/>
      <c r="E124" s="3"/>
    </row>
    <row r="125" spans="1:5" x14ac:dyDescent="0.2"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C130" s="12"/>
      <c r="D130" s="23"/>
      <c r="E130" s="3"/>
      <c r="F130" s="12"/>
      <c r="G130" s="13"/>
    </row>
    <row r="131" spans="1:7" x14ac:dyDescent="0.2">
      <c r="B131" s="3"/>
      <c r="C131" s="12"/>
      <c r="D131" s="23"/>
      <c r="E131" s="3"/>
      <c r="F131" s="12"/>
      <c r="G131" s="13"/>
    </row>
    <row r="132" spans="1:7" x14ac:dyDescent="0.2">
      <c r="B132" s="3"/>
      <c r="C132" s="12"/>
      <c r="D132" s="23"/>
      <c r="E132" s="3"/>
      <c r="F132" s="12"/>
      <c r="G132" s="13"/>
    </row>
    <row r="133" spans="1:7" x14ac:dyDescent="0.2">
      <c r="B133" s="3"/>
      <c r="C133" s="12"/>
      <c r="D133" s="23"/>
      <c r="E133" s="3"/>
      <c r="F133" s="12"/>
      <c r="G133" s="13"/>
    </row>
    <row r="134" spans="1:7" ht="15.75" x14ac:dyDescent="0.25">
      <c r="A134" s="15"/>
      <c r="B134" s="3"/>
      <c r="C134" s="12"/>
      <c r="D134" s="23"/>
      <c r="E134" s="3"/>
      <c r="F134" s="12"/>
      <c r="G134" s="13"/>
    </row>
    <row r="135" spans="1:7" ht="15.75" x14ac:dyDescent="0.25">
      <c r="A135" s="6"/>
      <c r="B135" s="3"/>
      <c r="C135" s="12"/>
      <c r="D135" s="23"/>
      <c r="E135" s="3"/>
      <c r="F135" s="12"/>
      <c r="G135" s="13"/>
    </row>
    <row r="136" spans="1:7" ht="15.75" x14ac:dyDescent="0.25">
      <c r="A136" s="8"/>
      <c r="B136" s="3"/>
      <c r="C136" s="12"/>
      <c r="D136" s="23"/>
      <c r="E136" s="3"/>
      <c r="F136" s="12"/>
      <c r="G136" s="13"/>
    </row>
    <row r="137" spans="1:7" x14ac:dyDescent="0.2">
      <c r="B137" s="3"/>
      <c r="C137" s="12"/>
      <c r="D137" s="23"/>
      <c r="E137" s="3"/>
      <c r="F137" s="12"/>
      <c r="G137" s="13"/>
    </row>
    <row r="138" spans="1:7" x14ac:dyDescent="0.2">
      <c r="A138" s="10"/>
      <c r="B138" s="3"/>
      <c r="C138" s="12"/>
      <c r="D138" s="23"/>
      <c r="E138" s="3"/>
      <c r="F138" s="12"/>
      <c r="G138" s="13"/>
    </row>
    <row r="139" spans="1:7" x14ac:dyDescent="0.2">
      <c r="B139" s="3"/>
      <c r="C139" s="12"/>
      <c r="D139" s="23"/>
      <c r="E139" s="3"/>
      <c r="F139" s="12"/>
      <c r="G139" s="13"/>
    </row>
    <row r="140" spans="1:7" x14ac:dyDescent="0.2">
      <c r="A140" s="10"/>
      <c r="B140" s="3"/>
      <c r="C140" s="12"/>
      <c r="D140" s="23"/>
      <c r="E140" s="3"/>
      <c r="F140" s="12"/>
      <c r="G140" s="13"/>
    </row>
    <row r="141" spans="1:7" x14ac:dyDescent="0.2">
      <c r="B141" s="3"/>
      <c r="C141" s="12"/>
      <c r="D141" s="23"/>
      <c r="E141" s="3"/>
      <c r="F141" s="12"/>
      <c r="G141" s="13"/>
    </row>
    <row r="142" spans="1:7" ht="15.75" x14ac:dyDescent="0.25">
      <c r="A142" s="15"/>
      <c r="C142" s="12"/>
      <c r="D142" s="23"/>
      <c r="F142" s="12"/>
      <c r="G142" s="13"/>
    </row>
    <row r="143" spans="1:7" ht="15.75" x14ac:dyDescent="0.25">
      <c r="A143" s="15"/>
      <c r="C143" s="12"/>
      <c r="D143" s="23"/>
      <c r="F143" s="12"/>
      <c r="G143" s="13"/>
    </row>
    <row r="144" spans="1:7" ht="15.75" x14ac:dyDescent="0.25">
      <c r="A144" s="15"/>
      <c r="C144" s="12"/>
      <c r="F144" s="12"/>
    </row>
    <row r="145" spans="1:7" x14ac:dyDescent="0.2">
      <c r="C145" s="12"/>
      <c r="F145" s="12"/>
    </row>
    <row r="146" spans="1:7" x14ac:dyDescent="0.2">
      <c r="C146" s="12"/>
      <c r="F146" s="12"/>
    </row>
    <row r="147" spans="1:7" x14ac:dyDescent="0.2">
      <c r="C147" s="12"/>
      <c r="D147" s="23"/>
      <c r="F147" s="12"/>
      <c r="G147" s="13"/>
    </row>
    <row r="148" spans="1:7" x14ac:dyDescent="0.2">
      <c r="B148" s="10"/>
      <c r="C148" s="16"/>
      <c r="D148" s="25"/>
      <c r="E148" s="10"/>
      <c r="F148" s="16"/>
      <c r="G148" s="17"/>
    </row>
    <row r="149" spans="1:7" ht="15.75" x14ac:dyDescent="0.25">
      <c r="A149" s="6"/>
      <c r="C149" s="12"/>
      <c r="D149" s="23"/>
      <c r="F149" s="12"/>
      <c r="G149" s="13"/>
    </row>
    <row r="150" spans="1:7" x14ac:dyDescent="0.2">
      <c r="B150" s="10"/>
      <c r="C150" s="16"/>
      <c r="D150" s="25"/>
      <c r="E150" s="10"/>
      <c r="F150" s="16"/>
      <c r="G150" s="17"/>
    </row>
    <row r="151" spans="1:7" ht="15.75" x14ac:dyDescent="0.25">
      <c r="A151" s="6"/>
      <c r="C151" s="12"/>
      <c r="D151" s="23"/>
      <c r="F151" s="12"/>
      <c r="G151" s="13"/>
    </row>
    <row r="152" spans="1:7" ht="15.75" x14ac:dyDescent="0.2">
      <c r="A152" s="4"/>
      <c r="C152" s="12"/>
      <c r="F152" s="12"/>
    </row>
    <row r="153" spans="1:7" x14ac:dyDescent="0.2">
      <c r="C153" s="12"/>
      <c r="F153" s="12"/>
    </row>
    <row r="154" spans="1:7" ht="15.75" x14ac:dyDescent="0.25">
      <c r="A154" s="6"/>
      <c r="C154" s="12"/>
      <c r="F154" s="12"/>
    </row>
    <row r="155" spans="1:7" x14ac:dyDescent="0.2"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A162" s="10"/>
      <c r="B162" s="5"/>
      <c r="E162" s="5"/>
    </row>
    <row r="163" spans="1:7" x14ac:dyDescent="0.2">
      <c r="B163" s="5"/>
      <c r="C163" s="5"/>
      <c r="D163" s="24"/>
      <c r="E163" s="5"/>
      <c r="F163" s="5"/>
      <c r="G163" s="5"/>
    </row>
    <row r="164" spans="1:7" x14ac:dyDescent="0.2">
      <c r="D164" s="24"/>
      <c r="G164" s="5"/>
    </row>
    <row r="166" spans="1:7" x14ac:dyDescent="0.2">
      <c r="C166" s="12"/>
      <c r="D166" s="23"/>
      <c r="F166" s="12"/>
      <c r="G166" s="13"/>
    </row>
    <row r="167" spans="1:7" x14ac:dyDescent="0.2">
      <c r="C167" s="12"/>
      <c r="D167" s="23"/>
      <c r="F167" s="12"/>
      <c r="G167" s="13"/>
    </row>
    <row r="168" spans="1:7" x14ac:dyDescent="0.2">
      <c r="C168" s="12"/>
      <c r="D168" s="23"/>
      <c r="F168" s="12"/>
      <c r="G168" s="13"/>
    </row>
    <row r="169" spans="1:7" x14ac:dyDescent="0.2">
      <c r="C169" s="12"/>
      <c r="D169" s="23"/>
      <c r="F169" s="12"/>
      <c r="G169" s="13"/>
    </row>
    <row r="170" spans="1:7" x14ac:dyDescent="0.2">
      <c r="C170" s="12"/>
      <c r="D170" s="23"/>
      <c r="F170" s="12"/>
      <c r="G170" s="13"/>
    </row>
    <row r="171" spans="1:7" x14ac:dyDescent="0.2">
      <c r="C171" s="12"/>
      <c r="D171" s="23"/>
      <c r="F171" s="12"/>
      <c r="G171" s="13"/>
    </row>
    <row r="172" spans="1:7" x14ac:dyDescent="0.2">
      <c r="B172" s="10"/>
      <c r="C172" s="16"/>
      <c r="D172" s="25"/>
      <c r="E172" s="10"/>
      <c r="F172" s="16"/>
      <c r="G172" s="17"/>
    </row>
    <row r="173" spans="1:7" ht="15.75" x14ac:dyDescent="0.25">
      <c r="A173" s="15"/>
      <c r="C173" s="12"/>
      <c r="D173" s="23"/>
      <c r="F173" s="12"/>
      <c r="G173" s="13"/>
    </row>
    <row r="174" spans="1:7" ht="15.75" x14ac:dyDescent="0.25">
      <c r="A174" s="6"/>
      <c r="C174" s="12"/>
      <c r="D174" s="23"/>
      <c r="F174" s="12"/>
      <c r="G174" s="13"/>
    </row>
    <row r="175" spans="1:7" ht="15.75" x14ac:dyDescent="0.25">
      <c r="A175" s="8"/>
      <c r="C175" s="12"/>
      <c r="D175" s="23"/>
      <c r="F175" s="12"/>
      <c r="G175" s="13"/>
    </row>
    <row r="176" spans="1:7" x14ac:dyDescent="0.2">
      <c r="C176" s="12"/>
      <c r="D176" s="23"/>
      <c r="F176" s="12"/>
      <c r="G176" s="13"/>
    </row>
    <row r="177" spans="1:7" x14ac:dyDescent="0.2">
      <c r="A177" s="10"/>
      <c r="C177" s="12"/>
      <c r="D177" s="23"/>
      <c r="F177" s="12"/>
      <c r="G177" s="13"/>
    </row>
    <row r="178" spans="1:7" x14ac:dyDescent="0.2">
      <c r="C178" s="12"/>
      <c r="D178" s="23"/>
      <c r="F178" s="12"/>
      <c r="G178" s="13"/>
    </row>
    <row r="179" spans="1:7" x14ac:dyDescent="0.2">
      <c r="A179" s="10"/>
      <c r="C179" s="12"/>
      <c r="D179" s="23"/>
      <c r="F179" s="12"/>
      <c r="G179" s="13"/>
    </row>
    <row r="180" spans="1:7" x14ac:dyDescent="0.2">
      <c r="C180" s="12"/>
      <c r="D180" s="23"/>
      <c r="F180" s="12"/>
      <c r="G180" s="13"/>
    </row>
    <row r="181" spans="1:7" ht="15.75" x14ac:dyDescent="0.25">
      <c r="A181" s="15"/>
      <c r="C181" s="12"/>
      <c r="D181" s="23"/>
      <c r="F181" s="12"/>
      <c r="G181" s="13"/>
    </row>
    <row r="182" spans="1:7" ht="15.75" x14ac:dyDescent="0.25">
      <c r="A182" s="15"/>
      <c r="C182" s="12"/>
      <c r="D182" s="23"/>
      <c r="F182" s="12"/>
      <c r="G182" s="13"/>
    </row>
    <row r="183" spans="1:7" ht="15.75" x14ac:dyDescent="0.25">
      <c r="A183" s="15"/>
      <c r="C183" s="12"/>
      <c r="F183" s="12"/>
    </row>
    <row r="184" spans="1:7" x14ac:dyDescent="0.2">
      <c r="C184" s="12"/>
      <c r="F184" s="12"/>
    </row>
    <row r="185" spans="1:7" x14ac:dyDescent="0.2">
      <c r="C185" s="12"/>
      <c r="F185" s="12"/>
    </row>
    <row r="186" spans="1:7" x14ac:dyDescent="0.2">
      <c r="C186" s="12"/>
      <c r="D186" s="23"/>
      <c r="F186" s="12"/>
      <c r="G186" s="13"/>
    </row>
    <row r="187" spans="1:7" x14ac:dyDescent="0.2">
      <c r="B187" s="10"/>
      <c r="C187" s="16"/>
      <c r="D187" s="25"/>
      <c r="E187" s="10"/>
      <c r="F187" s="16"/>
      <c r="G187" s="17"/>
    </row>
    <row r="188" spans="1:7" ht="15.75" x14ac:dyDescent="0.25">
      <c r="A188" s="6"/>
      <c r="C188" s="12"/>
      <c r="D188" s="23"/>
      <c r="F188" s="12"/>
      <c r="G188" s="13"/>
    </row>
    <row r="189" spans="1:7" x14ac:dyDescent="0.2">
      <c r="B189" s="10"/>
      <c r="C189" s="16"/>
      <c r="D189" s="25"/>
      <c r="E189" s="10"/>
      <c r="F189" s="16"/>
      <c r="G189" s="17"/>
    </row>
    <row r="190" spans="1:7" ht="15.75" x14ac:dyDescent="0.25">
      <c r="A190" s="6"/>
      <c r="C190" s="12"/>
      <c r="D190" s="23"/>
      <c r="F190" s="12"/>
      <c r="G190" s="13"/>
    </row>
    <row r="191" spans="1:7" ht="15.75" x14ac:dyDescent="0.2">
      <c r="A191" s="4"/>
      <c r="C191" s="12"/>
      <c r="F191" s="12"/>
    </row>
    <row r="192" spans="1:7" x14ac:dyDescent="0.2">
      <c r="C192" s="12"/>
      <c r="F192" s="12"/>
    </row>
    <row r="193" spans="1:7" ht="15.75" x14ac:dyDescent="0.25">
      <c r="A193" s="6"/>
      <c r="C193" s="12"/>
      <c r="F193" s="12"/>
    </row>
    <row r="194" spans="1:7" x14ac:dyDescent="0.2"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A201" s="10"/>
      <c r="B201" s="5"/>
      <c r="E201" s="5"/>
    </row>
    <row r="202" spans="1:7" x14ac:dyDescent="0.2">
      <c r="B202" s="5"/>
      <c r="C202" s="5"/>
      <c r="D202" s="24"/>
      <c r="E202" s="5"/>
      <c r="F202" s="5"/>
      <c r="G202" s="5"/>
    </row>
    <row r="203" spans="1:7" x14ac:dyDescent="0.2">
      <c r="D203" s="24"/>
      <c r="G203" s="5"/>
    </row>
    <row r="205" spans="1:7" x14ac:dyDescent="0.2">
      <c r="C205" s="12"/>
      <c r="D205" s="23"/>
      <c r="F205" s="12"/>
      <c r="G205" s="13"/>
    </row>
    <row r="206" spans="1:7" x14ac:dyDescent="0.2">
      <c r="C206" s="12"/>
      <c r="D206" s="23"/>
      <c r="F206" s="12"/>
      <c r="G206" s="13"/>
    </row>
    <row r="207" spans="1:7" x14ac:dyDescent="0.2">
      <c r="C207" s="12"/>
      <c r="D207" s="23"/>
      <c r="F207" s="12"/>
      <c r="G207" s="13"/>
    </row>
    <row r="208" spans="1:7" x14ac:dyDescent="0.2">
      <c r="C208" s="12"/>
      <c r="D208" s="23"/>
      <c r="F208" s="12"/>
      <c r="G208" s="13"/>
    </row>
    <row r="209" spans="1:7" x14ac:dyDescent="0.2">
      <c r="C209" s="12"/>
      <c r="D209" s="23"/>
      <c r="F209" s="12"/>
      <c r="G209" s="13"/>
    </row>
    <row r="210" spans="1:7" x14ac:dyDescent="0.2">
      <c r="C210" s="12"/>
      <c r="D210" s="23"/>
      <c r="F210" s="12"/>
      <c r="G210" s="13"/>
    </row>
    <row r="211" spans="1:7" x14ac:dyDescent="0.2">
      <c r="B211" s="10"/>
      <c r="C211" s="16"/>
      <c r="D211" s="25"/>
      <c r="E211" s="10"/>
      <c r="F211" s="16"/>
      <c r="G211" s="17"/>
    </row>
    <row r="212" spans="1:7" ht="15.75" x14ac:dyDescent="0.25">
      <c r="A212" s="15"/>
      <c r="C212" s="12"/>
      <c r="D212" s="23"/>
      <c r="F212" s="12"/>
      <c r="G212" s="13"/>
    </row>
    <row r="213" spans="1:7" ht="15.75" x14ac:dyDescent="0.25">
      <c r="A213" s="6"/>
      <c r="C213" s="12"/>
      <c r="D213" s="23"/>
      <c r="F213" s="12"/>
      <c r="G213" s="13"/>
    </row>
    <row r="214" spans="1:7" ht="15.75" x14ac:dyDescent="0.25">
      <c r="A214" s="8"/>
      <c r="C214" s="12"/>
      <c r="D214" s="23"/>
      <c r="F214" s="12"/>
      <c r="G214" s="13"/>
    </row>
    <row r="215" spans="1:7" x14ac:dyDescent="0.2">
      <c r="C215" s="12"/>
      <c r="D215" s="23"/>
      <c r="F215" s="12"/>
      <c r="G215" s="13"/>
    </row>
    <row r="216" spans="1:7" x14ac:dyDescent="0.2">
      <c r="A216" s="10"/>
      <c r="C216" s="12"/>
      <c r="D216" s="23"/>
      <c r="F216" s="12"/>
      <c r="G216" s="13"/>
    </row>
    <row r="217" spans="1:7" x14ac:dyDescent="0.2">
      <c r="C217" s="12"/>
      <c r="D217" s="23"/>
      <c r="F217" s="12"/>
      <c r="G217" s="13"/>
    </row>
    <row r="218" spans="1:7" x14ac:dyDescent="0.2">
      <c r="A218" s="10"/>
      <c r="C218" s="12"/>
      <c r="D218" s="23"/>
      <c r="F218" s="12"/>
      <c r="G218" s="13"/>
    </row>
    <row r="219" spans="1:7" x14ac:dyDescent="0.2">
      <c r="C219" s="12"/>
      <c r="D219" s="23"/>
      <c r="F219" s="12"/>
      <c r="G219" s="13"/>
    </row>
    <row r="220" spans="1:7" ht="15.75" x14ac:dyDescent="0.25">
      <c r="A220" s="15"/>
      <c r="C220" s="12"/>
      <c r="D220" s="23"/>
      <c r="F220" s="12"/>
      <c r="G220" s="13"/>
    </row>
    <row r="221" spans="1:7" ht="15.75" x14ac:dyDescent="0.25">
      <c r="A221" s="15"/>
      <c r="C221" s="12"/>
      <c r="D221" s="23"/>
      <c r="F221" s="12"/>
      <c r="G221" s="13"/>
    </row>
    <row r="222" spans="1:7" ht="15.75" x14ac:dyDescent="0.25">
      <c r="A222" s="15"/>
      <c r="C222" s="12"/>
      <c r="F222" s="12"/>
    </row>
    <row r="223" spans="1:7" x14ac:dyDescent="0.2">
      <c r="C223" s="12"/>
      <c r="F223" s="12"/>
    </row>
    <row r="224" spans="1:7" x14ac:dyDescent="0.2">
      <c r="C224" s="12"/>
      <c r="F224" s="12"/>
    </row>
    <row r="225" spans="1:7" x14ac:dyDescent="0.2">
      <c r="C225" s="12"/>
      <c r="D225" s="23"/>
      <c r="F225" s="12"/>
      <c r="G225" s="13"/>
    </row>
    <row r="226" spans="1:7" x14ac:dyDescent="0.2">
      <c r="B226" s="10"/>
      <c r="C226" s="16"/>
      <c r="D226" s="25"/>
      <c r="E226" s="10"/>
      <c r="F226" s="16"/>
      <c r="G226" s="17"/>
    </row>
    <row r="227" spans="1:7" ht="15.75" x14ac:dyDescent="0.25">
      <c r="A227" s="6"/>
      <c r="C227" s="12"/>
      <c r="D227" s="23"/>
      <c r="F227" s="12"/>
      <c r="G227" s="13"/>
    </row>
    <row r="228" spans="1:7" x14ac:dyDescent="0.2">
      <c r="B228" s="10"/>
      <c r="C228" s="16"/>
      <c r="D228" s="25"/>
      <c r="E228" s="10"/>
      <c r="F228" s="16"/>
      <c r="G228" s="17"/>
    </row>
    <row r="229" spans="1:7" ht="15.75" x14ac:dyDescent="0.25">
      <c r="A229" s="6"/>
      <c r="C229" s="12"/>
      <c r="D229" s="23"/>
      <c r="F229" s="12"/>
      <c r="G229" s="13"/>
    </row>
    <row r="230" spans="1:7" ht="15.75" x14ac:dyDescent="0.2">
      <c r="A230" s="4"/>
      <c r="C230" s="12"/>
      <c r="F230" s="12"/>
    </row>
    <row r="231" spans="1:7" x14ac:dyDescent="0.2">
      <c r="C231" s="12"/>
      <c r="F231" s="12"/>
    </row>
    <row r="232" spans="1:7" ht="15.75" x14ac:dyDescent="0.25">
      <c r="A232" s="6"/>
      <c r="C232" s="12"/>
      <c r="F232" s="12"/>
    </row>
    <row r="233" spans="1:7" x14ac:dyDescent="0.2"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A240" s="10"/>
      <c r="B240" s="5"/>
      <c r="E240" s="5"/>
    </row>
    <row r="241" spans="1:7" x14ac:dyDescent="0.2">
      <c r="B241" s="5"/>
      <c r="C241" s="5"/>
      <c r="D241" s="24"/>
      <c r="E241" s="5"/>
      <c r="F241" s="5"/>
      <c r="G241" s="5"/>
    </row>
    <row r="242" spans="1:7" x14ac:dyDescent="0.2">
      <c r="D242" s="24"/>
      <c r="G242" s="5"/>
    </row>
    <row r="244" spans="1:7" x14ac:dyDescent="0.2">
      <c r="C244" s="12"/>
      <c r="D244" s="23"/>
      <c r="F244" s="12"/>
      <c r="G244" s="13"/>
    </row>
    <row r="245" spans="1:7" x14ac:dyDescent="0.2">
      <c r="C245" s="12"/>
      <c r="D245" s="23"/>
      <c r="F245" s="12"/>
      <c r="G245" s="13"/>
    </row>
    <row r="246" spans="1:7" x14ac:dyDescent="0.2">
      <c r="C246" s="12"/>
      <c r="D246" s="23"/>
      <c r="F246" s="12"/>
      <c r="G246" s="13"/>
    </row>
    <row r="247" spans="1:7" x14ac:dyDescent="0.2">
      <c r="C247" s="12"/>
      <c r="D247" s="23"/>
      <c r="F247" s="12"/>
      <c r="G247" s="13"/>
    </row>
    <row r="248" spans="1:7" x14ac:dyDescent="0.2">
      <c r="C248" s="12"/>
      <c r="D248" s="23"/>
      <c r="F248" s="12"/>
      <c r="G248" s="13"/>
    </row>
    <row r="249" spans="1:7" x14ac:dyDescent="0.2">
      <c r="C249" s="12"/>
      <c r="D249" s="23"/>
      <c r="F249" s="12"/>
      <c r="G249" s="13"/>
    </row>
    <row r="250" spans="1:7" x14ac:dyDescent="0.2">
      <c r="B250" s="10"/>
      <c r="C250" s="16"/>
      <c r="D250" s="25"/>
      <c r="E250" s="10"/>
      <c r="F250" s="16"/>
      <c r="G250" s="17"/>
    </row>
    <row r="251" spans="1:7" ht="15.75" x14ac:dyDescent="0.25">
      <c r="A251" s="15"/>
      <c r="C251" s="12"/>
      <c r="D251" s="23"/>
      <c r="F251" s="12"/>
      <c r="G251" s="13"/>
    </row>
    <row r="252" spans="1:7" ht="15.75" x14ac:dyDescent="0.25">
      <c r="A252" s="6"/>
      <c r="C252" s="12"/>
      <c r="D252" s="23"/>
      <c r="F252" s="12"/>
      <c r="G252" s="13"/>
    </row>
    <row r="253" spans="1:7" ht="15.75" x14ac:dyDescent="0.25">
      <c r="A253" s="8"/>
      <c r="C253" s="12"/>
      <c r="D253" s="23"/>
      <c r="F253" s="12"/>
      <c r="G253" s="13"/>
    </row>
    <row r="254" spans="1:7" x14ac:dyDescent="0.2">
      <c r="C254" s="12"/>
      <c r="D254" s="23"/>
      <c r="F254" s="12"/>
      <c r="G254" s="13"/>
    </row>
    <row r="255" spans="1:7" x14ac:dyDescent="0.2">
      <c r="A255" s="10"/>
      <c r="C255" s="12"/>
      <c r="D255" s="23"/>
      <c r="F255" s="12"/>
      <c r="G255" s="13"/>
    </row>
    <row r="256" spans="1:7" x14ac:dyDescent="0.2">
      <c r="C256" s="12"/>
      <c r="D256" s="23"/>
      <c r="F256" s="12"/>
      <c r="G256" s="13"/>
    </row>
    <row r="257" spans="1:7" x14ac:dyDescent="0.2">
      <c r="A257" s="10"/>
      <c r="C257" s="12"/>
      <c r="D257" s="23"/>
      <c r="F257" s="12"/>
      <c r="G257" s="13"/>
    </row>
    <row r="258" spans="1:7" x14ac:dyDescent="0.2">
      <c r="C258" s="12"/>
      <c r="D258" s="23"/>
      <c r="F258" s="12"/>
      <c r="G258" s="13"/>
    </row>
    <row r="259" spans="1:7" ht="15.75" x14ac:dyDescent="0.25">
      <c r="A259" s="15"/>
      <c r="C259" s="12"/>
      <c r="D259" s="23"/>
      <c r="F259" s="12"/>
      <c r="G259" s="13"/>
    </row>
    <row r="260" spans="1:7" ht="15.75" x14ac:dyDescent="0.25">
      <c r="A260" s="15"/>
      <c r="C260" s="12"/>
      <c r="D260" s="23"/>
      <c r="F260" s="12"/>
      <c r="G260" s="13"/>
    </row>
    <row r="261" spans="1:7" ht="15.75" x14ac:dyDescent="0.25">
      <c r="A261" s="15"/>
      <c r="C261" s="12"/>
      <c r="F261" s="12"/>
    </row>
    <row r="262" spans="1:7" x14ac:dyDescent="0.2">
      <c r="C262" s="12"/>
      <c r="F262" s="12"/>
    </row>
    <row r="263" spans="1:7" x14ac:dyDescent="0.2">
      <c r="C263" s="12"/>
      <c r="F263" s="12"/>
    </row>
    <row r="264" spans="1:7" x14ac:dyDescent="0.2">
      <c r="C264" s="12"/>
      <c r="D264" s="23"/>
      <c r="F264" s="12"/>
      <c r="G264" s="13"/>
    </row>
    <row r="265" spans="1:7" x14ac:dyDescent="0.2">
      <c r="B265" s="10"/>
      <c r="C265" s="16"/>
      <c r="D265" s="25"/>
      <c r="E265" s="10"/>
      <c r="F265" s="16"/>
      <c r="G265" s="17"/>
    </row>
    <row r="266" spans="1:7" ht="15.75" x14ac:dyDescent="0.25">
      <c r="A266" s="6"/>
      <c r="C266" s="12"/>
      <c r="D266" s="23"/>
      <c r="F266" s="12"/>
      <c r="G266" s="13"/>
    </row>
    <row r="267" spans="1:7" x14ac:dyDescent="0.2">
      <c r="B267" s="10"/>
      <c r="C267" s="16"/>
      <c r="D267" s="25"/>
      <c r="E267" s="10"/>
      <c r="F267" s="16"/>
      <c r="G267" s="17"/>
    </row>
    <row r="268" spans="1:7" ht="15.75" x14ac:dyDescent="0.25">
      <c r="A268" s="6"/>
      <c r="C268" s="12"/>
      <c r="D268" s="23"/>
      <c r="F268" s="12"/>
      <c r="G268" s="13"/>
    </row>
    <row r="269" spans="1:7" ht="15.75" x14ac:dyDescent="0.25">
      <c r="A269" s="6"/>
      <c r="C269" s="12"/>
      <c r="F269" s="12"/>
    </row>
    <row r="270" spans="1:7" x14ac:dyDescent="0.2">
      <c r="C270" s="12"/>
      <c r="F270" s="12"/>
    </row>
    <row r="271" spans="1:7" x14ac:dyDescent="0.2"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B279" s="5"/>
      <c r="E279" s="5"/>
    </row>
    <row r="280" spans="2:7" x14ac:dyDescent="0.2">
      <c r="B280" s="5"/>
      <c r="C280" s="5"/>
      <c r="D280" s="24"/>
      <c r="E280" s="5"/>
      <c r="F280" s="5"/>
      <c r="G280" s="5"/>
    </row>
    <row r="281" spans="2:7" x14ac:dyDescent="0.2">
      <c r="D281" s="24"/>
      <c r="G281" s="5"/>
    </row>
    <row r="283" spans="2:7" x14ac:dyDescent="0.2">
      <c r="C283" s="12"/>
      <c r="F283" s="12"/>
    </row>
    <row r="284" spans="2:7" x14ac:dyDescent="0.2">
      <c r="C284" s="12"/>
      <c r="F284" s="12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B289" s="10"/>
      <c r="C289" s="16"/>
      <c r="D289" s="26"/>
      <c r="E289" s="10"/>
      <c r="F289" s="16"/>
      <c r="G289" s="10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B304" s="10"/>
      <c r="C304" s="16"/>
      <c r="D304" s="26"/>
      <c r="E304" s="10"/>
      <c r="F304" s="16"/>
      <c r="G304" s="10"/>
    </row>
    <row r="305" spans="2:7" x14ac:dyDescent="0.2">
      <c r="C305" s="12"/>
      <c r="F305" s="12"/>
    </row>
    <row r="306" spans="2:7" x14ac:dyDescent="0.2">
      <c r="B306" s="10"/>
      <c r="C306" s="16"/>
      <c r="D306" s="27"/>
      <c r="E306" s="10"/>
      <c r="F306" s="16"/>
      <c r="G306" s="18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22" spans="4:7" x14ac:dyDescent="0.2">
      <c r="D322" s="28"/>
      <c r="G322" s="12"/>
    </row>
    <row r="323" spans="4:7" x14ac:dyDescent="0.2">
      <c r="D323" s="28"/>
      <c r="G323" s="12"/>
    </row>
    <row r="324" spans="4:7" x14ac:dyDescent="0.2">
      <c r="D324" s="28"/>
      <c r="G324" s="12"/>
    </row>
    <row r="325" spans="4:7" x14ac:dyDescent="0.2">
      <c r="D325" s="28"/>
      <c r="G325" s="12"/>
    </row>
    <row r="326" spans="4:7" x14ac:dyDescent="0.2">
      <c r="D326" s="28"/>
      <c r="G326" s="12"/>
    </row>
    <row r="327" spans="4:7" x14ac:dyDescent="0.2">
      <c r="D327" s="28"/>
      <c r="G327" s="12"/>
    </row>
    <row r="328" spans="4:7" x14ac:dyDescent="0.2">
      <c r="D328" s="28"/>
      <c r="G328" s="12"/>
    </row>
    <row r="329" spans="4:7" x14ac:dyDescent="0.2">
      <c r="D329" s="28"/>
      <c r="G329" s="12"/>
    </row>
    <row r="330" spans="4:7" x14ac:dyDescent="0.2">
      <c r="D330" s="28"/>
      <c r="G330" s="12"/>
    </row>
    <row r="331" spans="4:7" x14ac:dyDescent="0.2">
      <c r="D331" s="28"/>
      <c r="G331" s="12"/>
    </row>
    <row r="332" spans="4:7" x14ac:dyDescent="0.2">
      <c r="D332" s="28"/>
      <c r="G332" s="12"/>
    </row>
    <row r="333" spans="4:7" x14ac:dyDescent="0.2">
      <c r="D333" s="28"/>
      <c r="G333" s="12"/>
    </row>
    <row r="334" spans="4:7" x14ac:dyDescent="0.2">
      <c r="D334" s="28"/>
      <c r="G334" s="12"/>
    </row>
  </sheetData>
  <mergeCells count="4">
    <mergeCell ref="A2:A3"/>
    <mergeCell ref="B2:G2"/>
    <mergeCell ref="B71:C71"/>
    <mergeCell ref="A73:I73"/>
  </mergeCells>
  <phoneticPr fontId="15" type="noConversion"/>
  <pageMargins left="0.75" right="0.75" top="1" bottom="1" header="0.5" footer="0.5"/>
  <pageSetup scale="5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</vt:vector>
  </TitlesOfParts>
  <Company>SDSU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Goodrich</dc:creator>
  <cp:lastModifiedBy>Villamil, Vanessa</cp:lastModifiedBy>
  <cp:lastPrinted>2012-09-18T16:46:09Z</cp:lastPrinted>
  <dcterms:created xsi:type="dcterms:W3CDTF">1997-07-16T19:35:19Z</dcterms:created>
  <dcterms:modified xsi:type="dcterms:W3CDTF">2019-12-16T18:00:48Z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05a6b0c441df4b7a85e3931ffabb02c3</vt:lpwstr>
  </property>
</Properties>
</file>